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BuÇalışmaKitabı" defaultThemeVersion="124226"/>
  <bookViews>
    <workbookView xWindow="0" yWindow="180" windowWidth="15345" windowHeight="4410" firstSheet="1" activeTab="1"/>
  </bookViews>
  <sheets>
    <sheet name="A15" sheetId="15" state="hidden" r:id="rId1"/>
    <sheet name="Cтатистика" sheetId="19" r:id="rId2"/>
    <sheet name="Pro Max New" sheetId="22" r:id="rId3"/>
    <sheet name="Team 1" sheetId="1" state="hidden" r:id="rId4"/>
    <sheet name="Team 2" sheetId="2" state="hidden" r:id="rId5"/>
    <sheet name="А25" sheetId="14" state="hidden" r:id="rId6"/>
  </sheets>
  <externalReferences>
    <externalReference r:id="rId7"/>
    <externalReference r:id="rId8"/>
  </externalReferences>
  <definedNames>
    <definedName name="К1">[1]Старт!$T$1:$U$1</definedName>
    <definedName name="К2">[1]Старт!$T$2:$U$2</definedName>
    <definedName name="команды">#REF!</definedName>
    <definedName name="Статистика">[1]Старт!$Q$1:$Q$2</definedName>
    <definedName name="Страны">'[2]Список стран'!$A$2:$A$58</definedName>
  </definedNames>
  <calcPr calcId="144525" concurrentCalc="0"/>
</workbook>
</file>

<file path=xl/calcChain.xml><?xml version="1.0" encoding="utf-8"?>
<calcChain xmlns="http://schemas.openxmlformats.org/spreadsheetml/2006/main">
  <c r="C13" i="1" l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D13" i="1"/>
  <c r="F3" i="1"/>
  <c r="A3" i="1"/>
  <c r="E4" i="1"/>
  <c r="M4" i="1"/>
  <c r="K4" i="1"/>
  <c r="E5" i="1"/>
  <c r="M5" i="1"/>
  <c r="L5" i="1"/>
  <c r="E6" i="1"/>
  <c r="M6" i="1"/>
  <c r="E7" i="1"/>
  <c r="M7" i="1"/>
  <c r="E8" i="1"/>
  <c r="M8" i="1"/>
  <c r="E9" i="1"/>
  <c r="M9" i="1"/>
  <c r="L9" i="1"/>
  <c r="E10" i="1"/>
  <c r="M10" i="1"/>
  <c r="L10" i="1"/>
  <c r="E11" i="1"/>
  <c r="M11" i="1"/>
  <c r="K11" i="1"/>
  <c r="E12" i="1"/>
  <c r="M12" i="1"/>
  <c r="K12" i="1"/>
  <c r="E13" i="1"/>
  <c r="M13" i="1"/>
  <c r="L13" i="1"/>
  <c r="K13" i="1"/>
  <c r="C13" i="2"/>
  <c r="C4" i="2"/>
  <c r="D4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D13" i="2"/>
  <c r="F3" i="2"/>
  <c r="A3" i="2"/>
  <c r="E4" i="2"/>
  <c r="M4" i="2"/>
  <c r="L4" i="2"/>
  <c r="E5" i="2"/>
  <c r="M5" i="2"/>
  <c r="K5" i="2"/>
  <c r="E7" i="2"/>
  <c r="M7" i="2"/>
  <c r="K7" i="2"/>
  <c r="E9" i="2"/>
  <c r="M9" i="2"/>
  <c r="K9" i="2"/>
  <c r="E12" i="2"/>
  <c r="M12" i="2"/>
  <c r="K12" i="2"/>
  <c r="L4" i="1"/>
  <c r="L5" i="2"/>
  <c r="E6" i="2"/>
  <c r="M6" i="2"/>
  <c r="K6" i="2"/>
  <c r="E8" i="2"/>
  <c r="M8" i="2"/>
  <c r="L9" i="2"/>
  <c r="E10" i="2"/>
  <c r="M10" i="2"/>
  <c r="K10" i="2"/>
  <c r="E11" i="2"/>
  <c r="M11" i="2"/>
  <c r="L12" i="2"/>
  <c r="E13" i="2"/>
  <c r="M13" i="2"/>
  <c r="Q13" i="2"/>
  <c r="AK34" i="14"/>
  <c r="AK35" i="14"/>
  <c r="AN17" i="14"/>
  <c r="A21" i="15"/>
  <c r="F2" i="22"/>
  <c r="AK1" i="14"/>
  <c r="V5" i="1"/>
  <c r="V6" i="1"/>
  <c r="V7" i="1"/>
  <c r="V8" i="1"/>
  <c r="V9" i="1"/>
  <c r="V10" i="1"/>
  <c r="V11" i="1"/>
  <c r="V12" i="1"/>
  <c r="V13" i="1"/>
  <c r="B3" i="15"/>
  <c r="V5" i="2"/>
  <c r="V6" i="2"/>
  <c r="V7" i="2"/>
  <c r="V8" i="2"/>
  <c r="V9" i="2"/>
  <c r="V10" i="2"/>
  <c r="V11" i="2"/>
  <c r="V12" i="2"/>
  <c r="V13" i="2"/>
  <c r="B4" i="15"/>
  <c r="D6" i="14"/>
  <c r="B6" i="14"/>
  <c r="AN2" i="14"/>
  <c r="D8" i="14"/>
  <c r="AN3" i="14"/>
  <c r="AF7" i="14"/>
  <c r="C4" i="14"/>
  <c r="AJ1" i="14"/>
  <c r="AF2" i="14"/>
  <c r="E8" i="14"/>
  <c r="AF8" i="14"/>
  <c r="AG7" i="14"/>
  <c r="AH7" i="14"/>
  <c r="AG2" i="14"/>
  <c r="AH2" i="14"/>
  <c r="AG8" i="14"/>
  <c r="AH8" i="14"/>
  <c r="B10" i="2"/>
  <c r="B11" i="2"/>
  <c r="B12" i="2"/>
  <c r="B13" i="2"/>
  <c r="A10" i="2"/>
  <c r="A11" i="2"/>
  <c r="A12" i="2"/>
  <c r="A13" i="2"/>
  <c r="B9" i="2"/>
  <c r="J9" i="2"/>
  <c r="A9" i="2"/>
  <c r="B5" i="2"/>
  <c r="J5" i="2"/>
  <c r="B6" i="2"/>
  <c r="B7" i="2"/>
  <c r="J7" i="2"/>
  <c r="B8" i="2"/>
  <c r="A5" i="2"/>
  <c r="A6" i="2"/>
  <c r="A7" i="2"/>
  <c r="A8" i="2"/>
  <c r="B4" i="2"/>
  <c r="A4" i="2"/>
  <c r="B10" i="1"/>
  <c r="B11" i="1"/>
  <c r="B12" i="1"/>
  <c r="J12" i="1"/>
  <c r="B13" i="1"/>
  <c r="A10" i="1"/>
  <c r="A11" i="1"/>
  <c r="A12" i="1"/>
  <c r="A13" i="1"/>
  <c r="B9" i="1"/>
  <c r="A9" i="1"/>
  <c r="B5" i="1"/>
  <c r="B6" i="1"/>
  <c r="B7" i="1"/>
  <c r="B8" i="1"/>
  <c r="A5" i="1"/>
  <c r="A6" i="1"/>
  <c r="A7" i="1"/>
  <c r="A8" i="1"/>
  <c r="B4" i="1"/>
  <c r="A4" i="1"/>
  <c r="F16" i="14"/>
  <c r="S12" i="14"/>
  <c r="A10" i="14"/>
  <c r="A2" i="14"/>
  <c r="J7" i="14"/>
  <c r="B8" i="14"/>
  <c r="C8" i="14"/>
  <c r="F8" i="14"/>
  <c r="G8" i="14"/>
  <c r="F11" i="14"/>
  <c r="G11" i="14"/>
  <c r="H11" i="14"/>
  <c r="I11" i="14"/>
  <c r="J11" i="14"/>
  <c r="AF30" i="14"/>
  <c r="AF34" i="14"/>
  <c r="C15" i="14"/>
  <c r="F15" i="14"/>
  <c r="G15" i="14"/>
  <c r="H15" i="14"/>
  <c r="N15" i="14"/>
  <c r="O15" i="14"/>
  <c r="P15" i="14"/>
  <c r="Q15" i="14"/>
  <c r="C16" i="14"/>
  <c r="G16" i="14"/>
  <c r="H16" i="14"/>
  <c r="F17" i="14"/>
  <c r="G17" i="14"/>
  <c r="H17" i="14"/>
  <c r="AF14" i="14"/>
  <c r="AG14" i="14"/>
  <c r="AH14" i="14"/>
  <c r="AK30" i="14"/>
  <c r="P13" i="2"/>
  <c r="O13" i="2"/>
  <c r="N13" i="2"/>
  <c r="J13" i="2"/>
  <c r="Q12" i="2"/>
  <c r="P12" i="2"/>
  <c r="O12" i="2"/>
  <c r="N12" i="2"/>
  <c r="J12" i="2"/>
  <c r="O11" i="2"/>
  <c r="N11" i="2"/>
  <c r="J11" i="2"/>
  <c r="Q10" i="2"/>
  <c r="O10" i="2"/>
  <c r="N10" i="2"/>
  <c r="J10" i="2"/>
  <c r="Q9" i="2"/>
  <c r="P9" i="2"/>
  <c r="O9" i="2"/>
  <c r="N9" i="2"/>
  <c r="Q8" i="2"/>
  <c r="P8" i="2"/>
  <c r="O8" i="2"/>
  <c r="N8" i="2"/>
  <c r="J8" i="2"/>
  <c r="Q7" i="2"/>
  <c r="P7" i="2"/>
  <c r="O7" i="2"/>
  <c r="N7" i="2"/>
  <c r="Q6" i="2"/>
  <c r="P6" i="2"/>
  <c r="O6" i="2"/>
  <c r="N6" i="2"/>
  <c r="J6" i="2"/>
  <c r="Q5" i="2"/>
  <c r="P5" i="2"/>
  <c r="O5" i="2"/>
  <c r="N5" i="2"/>
  <c r="Q4" i="2"/>
  <c r="P4" i="2"/>
  <c r="O4" i="2"/>
  <c r="N4" i="2"/>
  <c r="J4" i="2"/>
  <c r="P4" i="1"/>
  <c r="Q13" i="1"/>
  <c r="P13" i="1"/>
  <c r="O13" i="1"/>
  <c r="N13" i="1"/>
  <c r="J13" i="1"/>
  <c r="Q12" i="1"/>
  <c r="P12" i="1"/>
  <c r="O12" i="1"/>
  <c r="N12" i="1"/>
  <c r="Q11" i="1"/>
  <c r="P11" i="1"/>
  <c r="O11" i="1"/>
  <c r="N11" i="1"/>
  <c r="J11" i="1"/>
  <c r="Q10" i="1"/>
  <c r="P10" i="1"/>
  <c r="O10" i="1"/>
  <c r="N10" i="1"/>
  <c r="J10" i="1"/>
  <c r="Q9" i="1"/>
  <c r="P9" i="1"/>
  <c r="O9" i="1"/>
  <c r="N9" i="1"/>
  <c r="J9" i="1"/>
  <c r="O8" i="1"/>
  <c r="N8" i="1"/>
  <c r="J8" i="1"/>
  <c r="O7" i="1"/>
  <c r="N7" i="1"/>
  <c r="J7" i="1"/>
  <c r="O6" i="1"/>
  <c r="N6" i="1"/>
  <c r="J6" i="1"/>
  <c r="Q5" i="1"/>
  <c r="P5" i="1"/>
  <c r="O5" i="1"/>
  <c r="N5" i="1"/>
  <c r="J5" i="1"/>
  <c r="Q4" i="1"/>
  <c r="O4" i="1"/>
  <c r="N4" i="1"/>
  <c r="J4" i="1"/>
  <c r="K11" i="2"/>
  <c r="Q11" i="2"/>
  <c r="L11" i="2"/>
  <c r="P11" i="2"/>
  <c r="R11" i="2"/>
  <c r="C21" i="15"/>
  <c r="J2" i="22"/>
  <c r="C10" i="14"/>
  <c r="C2" i="14"/>
  <c r="K7" i="1"/>
  <c r="P7" i="1"/>
  <c r="L7" i="1"/>
  <c r="Q7" i="1"/>
  <c r="R7" i="2"/>
  <c r="L7" i="2"/>
  <c r="G7" i="2"/>
  <c r="T7" i="2"/>
  <c r="K8" i="1"/>
  <c r="Q8" i="1"/>
  <c r="P8" i="1"/>
  <c r="Q6" i="1"/>
  <c r="P6" i="1"/>
  <c r="P10" i="2"/>
  <c r="L10" i="2"/>
  <c r="L6" i="2"/>
  <c r="L12" i="1"/>
  <c r="L11" i="1"/>
  <c r="K9" i="1"/>
  <c r="K5" i="1"/>
  <c r="N11" i="14"/>
  <c r="L7" i="14"/>
  <c r="L13" i="2"/>
  <c r="K13" i="2"/>
  <c r="L8" i="2"/>
  <c r="K8" i="2"/>
  <c r="R12" i="2"/>
  <c r="R10" i="2"/>
  <c r="R8" i="2"/>
  <c r="R6" i="2"/>
  <c r="R4" i="2"/>
  <c r="K10" i="1"/>
  <c r="L8" i="1"/>
  <c r="R12" i="1"/>
  <c r="R10" i="1"/>
  <c r="R8" i="1"/>
  <c r="R6" i="1"/>
  <c r="R4" i="1"/>
  <c r="R13" i="1"/>
  <c r="R11" i="1"/>
  <c r="R9" i="1"/>
  <c r="R7" i="1"/>
  <c r="R5" i="1"/>
  <c r="I7" i="2"/>
  <c r="S7" i="2"/>
  <c r="K4" i="2"/>
  <c r="R5" i="2"/>
  <c r="R9" i="2"/>
  <c r="R13" i="2"/>
  <c r="K6" i="1"/>
  <c r="L6" i="1"/>
  <c r="I11" i="2"/>
  <c r="S11" i="2"/>
  <c r="G11" i="2"/>
  <c r="T11" i="2"/>
  <c r="H11" i="2"/>
  <c r="U11" i="2"/>
  <c r="BB11" i="2"/>
  <c r="G13" i="2"/>
  <c r="T13" i="2"/>
  <c r="I13" i="2"/>
  <c r="S13" i="2"/>
  <c r="H13" i="2"/>
  <c r="U13" i="2"/>
  <c r="BB13" i="2"/>
  <c r="H5" i="2"/>
  <c r="U5" i="2"/>
  <c r="G5" i="2"/>
  <c r="T5" i="2"/>
  <c r="I5" i="2"/>
  <c r="S5" i="2"/>
  <c r="BB5" i="2"/>
  <c r="H7" i="2"/>
  <c r="U7" i="2"/>
  <c r="H5" i="1"/>
  <c r="U5" i="1"/>
  <c r="G5" i="1"/>
  <c r="T5" i="1"/>
  <c r="I5" i="1"/>
  <c r="S5" i="1"/>
  <c r="BB5" i="1"/>
  <c r="G9" i="1"/>
  <c r="T9" i="1"/>
  <c r="I9" i="1"/>
  <c r="S9" i="1"/>
  <c r="H9" i="1"/>
  <c r="U9" i="1"/>
  <c r="BB9" i="1"/>
  <c r="H13" i="1"/>
  <c r="U13" i="1"/>
  <c r="I13" i="1"/>
  <c r="S13" i="1"/>
  <c r="G13" i="1"/>
  <c r="T13" i="1"/>
  <c r="BB13" i="1"/>
  <c r="I6" i="1"/>
  <c r="S6" i="1"/>
  <c r="G6" i="1"/>
  <c r="T6" i="1"/>
  <c r="H6" i="1"/>
  <c r="U6" i="1"/>
  <c r="BB6" i="1"/>
  <c r="G10" i="1"/>
  <c r="T10" i="1"/>
  <c r="H10" i="1"/>
  <c r="U10" i="1"/>
  <c r="I10" i="1"/>
  <c r="S10" i="1"/>
  <c r="BB10" i="1"/>
  <c r="H4" i="2"/>
  <c r="U4" i="2"/>
  <c r="AA4" i="2"/>
  <c r="AZ4" i="2"/>
  <c r="AO4" i="2"/>
  <c r="AO5" i="2"/>
  <c r="AJ4" i="2"/>
  <c r="AJ5" i="2"/>
  <c r="AJ6" i="2"/>
  <c r="AJ7" i="2"/>
  <c r="AJ8" i="2"/>
  <c r="AJ9" i="2"/>
  <c r="AJ10" i="2"/>
  <c r="AJ11" i="2"/>
  <c r="AJ12" i="2"/>
  <c r="AJ13" i="2"/>
  <c r="P4" i="15"/>
  <c r="I4" i="2"/>
  <c r="S4" i="2"/>
  <c r="AK4" i="2"/>
  <c r="G4" i="2"/>
  <c r="T4" i="2"/>
  <c r="Z4" i="2"/>
  <c r="AY4" i="2"/>
  <c r="AD4" i="2"/>
  <c r="AE4" i="2"/>
  <c r="AE5" i="2"/>
  <c r="I6" i="2"/>
  <c r="S6" i="2"/>
  <c r="AE6" i="2"/>
  <c r="AE7" i="2"/>
  <c r="AG4" i="2"/>
  <c r="AG5" i="2"/>
  <c r="G6" i="2"/>
  <c r="T6" i="2"/>
  <c r="AG6" i="2"/>
  <c r="AG7" i="2"/>
  <c r="AH4" i="2"/>
  <c r="AH5" i="2"/>
  <c r="H6" i="2"/>
  <c r="U6" i="2"/>
  <c r="AH6" i="2"/>
  <c r="AH7" i="2"/>
  <c r="BB4" i="2"/>
  <c r="AC4" i="2"/>
  <c r="AC5" i="2"/>
  <c r="AC6" i="2"/>
  <c r="AC7" i="2"/>
  <c r="AC8" i="2"/>
  <c r="AC9" i="2"/>
  <c r="AC10" i="2"/>
  <c r="AC11" i="2"/>
  <c r="AC12" i="2"/>
  <c r="AC13" i="2"/>
  <c r="I4" i="15"/>
  <c r="AT4" i="2"/>
  <c r="AT5" i="2"/>
  <c r="AT6" i="2"/>
  <c r="AT7" i="2"/>
  <c r="AS4" i="2"/>
  <c r="AS5" i="2"/>
  <c r="AS6" i="2"/>
  <c r="AS7" i="2"/>
  <c r="AR4" i="2"/>
  <c r="AR5" i="2"/>
  <c r="AR6" i="2"/>
  <c r="AR7" i="2"/>
  <c r="AQ4" i="2"/>
  <c r="AQ5" i="2"/>
  <c r="AQ6" i="2"/>
  <c r="AQ7" i="2"/>
  <c r="AM4" i="2"/>
  <c r="AM5" i="2"/>
  <c r="AF4" i="2"/>
  <c r="AF5" i="2"/>
  <c r="AF6" i="2"/>
  <c r="AF7" i="2"/>
  <c r="G8" i="2"/>
  <c r="T8" i="2"/>
  <c r="I8" i="2"/>
  <c r="S8" i="2"/>
  <c r="H8" i="2"/>
  <c r="U8" i="2"/>
  <c r="BB8" i="2"/>
  <c r="H12" i="2"/>
  <c r="U12" i="2"/>
  <c r="I12" i="2"/>
  <c r="S12" i="2"/>
  <c r="G12" i="2"/>
  <c r="T12" i="2"/>
  <c r="BB12" i="2"/>
  <c r="H9" i="2"/>
  <c r="U9" i="2"/>
  <c r="G9" i="2"/>
  <c r="T9" i="2"/>
  <c r="I9" i="2"/>
  <c r="S9" i="2"/>
  <c r="BB9" i="2"/>
  <c r="J17" i="2"/>
  <c r="H17" i="2"/>
  <c r="I17" i="2"/>
  <c r="H7" i="1"/>
  <c r="U7" i="1"/>
  <c r="G7" i="1"/>
  <c r="T7" i="1"/>
  <c r="I7" i="1"/>
  <c r="S7" i="1"/>
  <c r="BB7" i="1"/>
  <c r="G11" i="1"/>
  <c r="T11" i="1"/>
  <c r="H11" i="1"/>
  <c r="U11" i="1"/>
  <c r="I11" i="1"/>
  <c r="S11" i="1"/>
  <c r="G4" i="1"/>
  <c r="T4" i="1"/>
  <c r="H4" i="1"/>
  <c r="U4" i="1"/>
  <c r="AA4" i="1"/>
  <c r="AZ4" i="1"/>
  <c r="I4" i="1"/>
  <c r="S4" i="1"/>
  <c r="AC4" i="1"/>
  <c r="AC5" i="1"/>
  <c r="AC6" i="1"/>
  <c r="AC7" i="1"/>
  <c r="AC8" i="1"/>
  <c r="AC9" i="1"/>
  <c r="AC10" i="1"/>
  <c r="AC11" i="1"/>
  <c r="AC12" i="1"/>
  <c r="AC13" i="1"/>
  <c r="I3" i="15"/>
  <c r="AL4" i="1"/>
  <c r="AL5" i="1"/>
  <c r="AL6" i="1"/>
  <c r="AL7" i="1"/>
  <c r="AN4" i="1"/>
  <c r="AN5" i="1"/>
  <c r="AN6" i="1"/>
  <c r="AN7" i="1"/>
  <c r="G8" i="1"/>
  <c r="T8" i="1"/>
  <c r="AN8" i="1"/>
  <c r="AN9" i="1"/>
  <c r="AN10" i="1"/>
  <c r="AN11" i="1"/>
  <c r="AO4" i="1"/>
  <c r="AO5" i="1"/>
  <c r="AO6" i="1"/>
  <c r="AO7" i="1"/>
  <c r="H8" i="1"/>
  <c r="U8" i="1"/>
  <c r="AO8" i="1"/>
  <c r="AO9" i="1"/>
  <c r="AO10" i="1"/>
  <c r="AO11" i="1"/>
  <c r="AK4" i="1"/>
  <c r="AK5" i="1"/>
  <c r="AJ4" i="1"/>
  <c r="AJ5" i="1"/>
  <c r="AJ6" i="1"/>
  <c r="AJ7" i="1"/>
  <c r="AJ8" i="1"/>
  <c r="AJ9" i="1"/>
  <c r="AJ10" i="1"/>
  <c r="AJ11" i="1"/>
  <c r="AJ12" i="1"/>
  <c r="AJ13" i="1"/>
  <c r="P3" i="15"/>
  <c r="AT4" i="1"/>
  <c r="AT5" i="1"/>
  <c r="AT6" i="1"/>
  <c r="AT7" i="1"/>
  <c r="AS4" i="1"/>
  <c r="AS5" i="1"/>
  <c r="AS6" i="1"/>
  <c r="AS7" i="1"/>
  <c r="AR4" i="1"/>
  <c r="AR5" i="1"/>
  <c r="AR6" i="1"/>
  <c r="AR7" i="1"/>
  <c r="AQ4" i="1"/>
  <c r="AQ5" i="1"/>
  <c r="AQ6" i="1"/>
  <c r="AQ7" i="1"/>
  <c r="AM4" i="1"/>
  <c r="AM5" i="1"/>
  <c r="AM6" i="1"/>
  <c r="AM7" i="1"/>
  <c r="I8" i="1"/>
  <c r="S8" i="1"/>
  <c r="AM8" i="1"/>
  <c r="AM9" i="1"/>
  <c r="AM10" i="1"/>
  <c r="AM11" i="1"/>
  <c r="BB8" i="1"/>
  <c r="G12" i="1"/>
  <c r="T12" i="1"/>
  <c r="H12" i="1"/>
  <c r="U12" i="1"/>
  <c r="I12" i="1"/>
  <c r="S12" i="1"/>
  <c r="BB6" i="2"/>
  <c r="H10" i="2"/>
  <c r="U10" i="2"/>
  <c r="I10" i="2"/>
  <c r="S10" i="2"/>
  <c r="G10" i="2"/>
  <c r="T10" i="2"/>
  <c r="BB10" i="2"/>
  <c r="AM12" i="1"/>
  <c r="AM13" i="1"/>
  <c r="S3" i="15"/>
  <c r="AR8" i="1"/>
  <c r="AR9" i="1"/>
  <c r="AR10" i="1"/>
  <c r="AR11" i="1"/>
  <c r="AR12" i="1"/>
  <c r="AR13" i="1"/>
  <c r="AT8" i="1"/>
  <c r="AT9" i="1"/>
  <c r="AT10" i="1"/>
  <c r="AT11" i="1"/>
  <c r="AT12" i="1"/>
  <c r="AT13" i="1"/>
  <c r="AN12" i="1"/>
  <c r="AN13" i="1"/>
  <c r="T3" i="15"/>
  <c r="AM6" i="2"/>
  <c r="AM7" i="2"/>
  <c r="AM8" i="2"/>
  <c r="AR8" i="2"/>
  <c r="AR9" i="2"/>
  <c r="AR10" i="2"/>
  <c r="AR11" i="2"/>
  <c r="AR12" i="2"/>
  <c r="AR13" i="2"/>
  <c r="AT8" i="2"/>
  <c r="AT9" i="2"/>
  <c r="AT10" i="2"/>
  <c r="AT11" i="2"/>
  <c r="AT12" i="2"/>
  <c r="AT13" i="2"/>
  <c r="AG8" i="2"/>
  <c r="AQ8" i="1"/>
  <c r="AQ9" i="1"/>
  <c r="AQ10" i="1"/>
  <c r="AQ11" i="1"/>
  <c r="AS8" i="1"/>
  <c r="AS9" i="1"/>
  <c r="AS10" i="1"/>
  <c r="AS11" i="1"/>
  <c r="AO12" i="1"/>
  <c r="AO13" i="1"/>
  <c r="U3" i="15"/>
  <c r="AF8" i="2"/>
  <c r="AF9" i="2"/>
  <c r="AQ8" i="2"/>
  <c r="AQ9" i="2"/>
  <c r="AS8" i="2"/>
  <c r="AS9" i="2"/>
  <c r="AH8" i="2"/>
  <c r="AL4" i="2"/>
  <c r="AL5" i="2"/>
  <c r="AN4" i="2"/>
  <c r="AN5" i="2"/>
  <c r="AN6" i="2"/>
  <c r="AN7" i="2"/>
  <c r="AN8" i="2"/>
  <c r="AN9" i="2"/>
  <c r="AN10" i="2"/>
  <c r="AN11" i="2"/>
  <c r="AN12" i="2"/>
  <c r="AN13" i="2"/>
  <c r="T4" i="15"/>
  <c r="AO6" i="2"/>
  <c r="AO7" i="2"/>
  <c r="AO8" i="2"/>
  <c r="AO9" i="2"/>
  <c r="AO10" i="2"/>
  <c r="AO11" i="2"/>
  <c r="AO12" i="2"/>
  <c r="AO13" i="2"/>
  <c r="U4" i="15"/>
  <c r="R7" i="15"/>
  <c r="AP5" i="1"/>
  <c r="AK6" i="1"/>
  <c r="O6" i="15"/>
  <c r="AH19" i="15"/>
  <c r="I10" i="15"/>
  <c r="K10" i="15"/>
  <c r="AG9" i="2"/>
  <c r="AG10" i="2"/>
  <c r="AG11" i="2"/>
  <c r="AG12" i="2"/>
  <c r="AG13" i="2"/>
  <c r="M4" i="15"/>
  <c r="R6" i="15"/>
  <c r="J10" i="15"/>
  <c r="L10" i="15"/>
  <c r="AH9" i="2"/>
  <c r="AH10" i="2"/>
  <c r="AH11" i="2"/>
  <c r="AH12" i="2"/>
  <c r="AH13" i="2"/>
  <c r="N4" i="15"/>
  <c r="L7" i="15"/>
  <c r="O7" i="15"/>
  <c r="AH20" i="15"/>
  <c r="H16" i="2"/>
  <c r="J16" i="2"/>
  <c r="I16" i="2"/>
  <c r="J18" i="1"/>
  <c r="H18" i="1"/>
  <c r="X4" i="1"/>
  <c r="W4" i="1"/>
  <c r="H21" i="15"/>
  <c r="Y4" i="1"/>
  <c r="J14" i="1"/>
  <c r="H14" i="1"/>
  <c r="Z4" i="1"/>
  <c r="AY4" i="1"/>
  <c r="O9" i="15"/>
  <c r="H18" i="2"/>
  <c r="J18" i="2"/>
  <c r="AI4" i="2"/>
  <c r="W4" i="2"/>
  <c r="X4" i="2"/>
  <c r="H14" i="2"/>
  <c r="J14" i="2"/>
  <c r="Y4" i="2"/>
  <c r="I21" i="15"/>
  <c r="W5" i="1"/>
  <c r="X5" i="1"/>
  <c r="Y5" i="1"/>
  <c r="J15" i="1"/>
  <c r="H15" i="1"/>
  <c r="Z5" i="1"/>
  <c r="AY5" i="1"/>
  <c r="X5" i="2"/>
  <c r="X6" i="2"/>
  <c r="X7" i="2"/>
  <c r="X8" i="2"/>
  <c r="X9" i="2"/>
  <c r="X10" i="2"/>
  <c r="X11" i="2"/>
  <c r="X12" i="2"/>
  <c r="X13" i="2"/>
  <c r="D4" i="15"/>
  <c r="W5" i="2"/>
  <c r="AB5" i="2"/>
  <c r="J15" i="2"/>
  <c r="H15" i="2"/>
  <c r="I15" i="2"/>
  <c r="Y5" i="2"/>
  <c r="Y6" i="2"/>
  <c r="Y7" i="2"/>
  <c r="Y8" i="2"/>
  <c r="Y9" i="2"/>
  <c r="Y10" i="2"/>
  <c r="Y11" i="2"/>
  <c r="Y12" i="2"/>
  <c r="Y13" i="2"/>
  <c r="E4" i="15"/>
  <c r="AD5" i="2"/>
  <c r="Z5" i="2"/>
  <c r="AY5" i="2"/>
  <c r="AF10" i="2"/>
  <c r="AF11" i="2"/>
  <c r="AF12" i="2"/>
  <c r="AF13" i="2"/>
  <c r="L4" i="15"/>
  <c r="AQ10" i="2"/>
  <c r="AQ11" i="2"/>
  <c r="AQ12" i="2"/>
  <c r="AQ13" i="2"/>
  <c r="AS10" i="2"/>
  <c r="AS11" i="2"/>
  <c r="AS12" i="2"/>
  <c r="AS13" i="2"/>
  <c r="AL6" i="2"/>
  <c r="AL7" i="2"/>
  <c r="AL8" i="2"/>
  <c r="AQ12" i="1"/>
  <c r="AQ13" i="1"/>
  <c r="AS12" i="1"/>
  <c r="AS13" i="1"/>
  <c r="BB12" i="1"/>
  <c r="AL8" i="1"/>
  <c r="AL9" i="1"/>
  <c r="AL10" i="1"/>
  <c r="AL11" i="1"/>
  <c r="AL12" i="1"/>
  <c r="AL13" i="1"/>
  <c r="R3" i="15"/>
  <c r="AF4" i="1"/>
  <c r="AF5" i="1"/>
  <c r="AF6" i="1"/>
  <c r="AF7" i="1"/>
  <c r="AF8" i="1"/>
  <c r="AF9" i="1"/>
  <c r="AF10" i="1"/>
  <c r="AF11" i="1"/>
  <c r="AF12" i="1"/>
  <c r="AF13" i="1"/>
  <c r="L3" i="15"/>
  <c r="BB4" i="1"/>
  <c r="AP4" i="1"/>
  <c r="AE4" i="1"/>
  <c r="AD4" i="1"/>
  <c r="AH4" i="1"/>
  <c r="AH5" i="1"/>
  <c r="AH6" i="1"/>
  <c r="AH7" i="1"/>
  <c r="AH8" i="1"/>
  <c r="AG4" i="1"/>
  <c r="AG5" i="1"/>
  <c r="AG6" i="1"/>
  <c r="AG7" i="1"/>
  <c r="AG8" i="1"/>
  <c r="BB11" i="1"/>
  <c r="H17" i="1"/>
  <c r="J17" i="1"/>
  <c r="AM9" i="2"/>
  <c r="AM10" i="2"/>
  <c r="AM11" i="2"/>
  <c r="AM12" i="2"/>
  <c r="AM13" i="2"/>
  <c r="S4" i="15"/>
  <c r="AL9" i="2"/>
  <c r="AL10" i="2"/>
  <c r="AL11" i="2"/>
  <c r="AL12" i="2"/>
  <c r="AL13" i="2"/>
  <c r="R4" i="15"/>
  <c r="AE8" i="2"/>
  <c r="AE9" i="2"/>
  <c r="AE10" i="2"/>
  <c r="AE11" i="2"/>
  <c r="AE12" i="2"/>
  <c r="AE13" i="2"/>
  <c r="K4" i="15"/>
  <c r="AP4" i="2"/>
  <c r="Z6" i="1"/>
  <c r="AY6" i="1"/>
  <c r="X6" i="1"/>
  <c r="X7" i="1"/>
  <c r="X8" i="1"/>
  <c r="X9" i="1"/>
  <c r="X10" i="1"/>
  <c r="X11" i="1"/>
  <c r="X12" i="1"/>
  <c r="X13" i="1"/>
  <c r="D3" i="15"/>
  <c r="W6" i="1"/>
  <c r="W7" i="1"/>
  <c r="H16" i="1"/>
  <c r="Y6" i="1"/>
  <c r="Y7" i="1"/>
  <c r="Y8" i="1"/>
  <c r="Y9" i="1"/>
  <c r="Y10" i="1"/>
  <c r="Y11" i="1"/>
  <c r="Y12" i="1"/>
  <c r="Y13" i="1"/>
  <c r="E3" i="15"/>
  <c r="J16" i="1"/>
  <c r="AD5" i="1"/>
  <c r="AE5" i="1"/>
  <c r="AE6" i="1"/>
  <c r="AE7" i="1"/>
  <c r="AE8" i="1"/>
  <c r="AE9" i="1"/>
  <c r="AE10" i="1"/>
  <c r="AE11" i="1"/>
  <c r="AE12" i="1"/>
  <c r="AE13" i="1"/>
  <c r="K3" i="15"/>
  <c r="AA5" i="1"/>
  <c r="AZ5" i="1"/>
  <c r="BB7" i="2"/>
  <c r="U21" i="15"/>
  <c r="AD7" i="14"/>
  <c r="AK5" i="2"/>
  <c r="AP5" i="2"/>
  <c r="AA5" i="2"/>
  <c r="AZ5" i="2"/>
  <c r="I15" i="1"/>
  <c r="I18" i="2"/>
  <c r="AW4" i="1"/>
  <c r="AW5" i="1"/>
  <c r="AW6" i="1"/>
  <c r="AW7" i="1"/>
  <c r="AW8" i="1"/>
  <c r="AW9" i="1"/>
  <c r="AW10" i="1"/>
  <c r="AW11" i="1"/>
  <c r="AW12" i="1"/>
  <c r="AW13" i="1"/>
  <c r="AU4" i="1"/>
  <c r="AU5" i="1"/>
  <c r="AU6" i="1"/>
  <c r="AU7" i="1"/>
  <c r="AU8" i="1"/>
  <c r="AU9" i="1"/>
  <c r="AU10" i="1"/>
  <c r="AU11" i="1"/>
  <c r="AU12" i="1"/>
  <c r="AU13" i="1"/>
  <c r="AX4" i="1"/>
  <c r="AX5" i="1"/>
  <c r="AX6" i="1"/>
  <c r="AX7" i="1"/>
  <c r="AX8" i="1"/>
  <c r="AX9" i="1"/>
  <c r="AX10" i="1"/>
  <c r="AX11" i="1"/>
  <c r="AX12" i="1"/>
  <c r="AX13" i="1"/>
  <c r="AV4" i="1"/>
  <c r="AV5" i="1"/>
  <c r="AV6" i="1"/>
  <c r="AV7" i="1"/>
  <c r="AV8" i="1"/>
  <c r="AV9" i="1"/>
  <c r="AV10" i="1"/>
  <c r="AV11" i="1"/>
  <c r="AV12" i="1"/>
  <c r="AV13" i="1"/>
  <c r="I16" i="1"/>
  <c r="AB7" i="1"/>
  <c r="W8" i="1"/>
  <c r="AI5" i="1"/>
  <c r="BA5" i="1"/>
  <c r="AD6" i="1"/>
  <c r="J9" i="15"/>
  <c r="L9" i="15"/>
  <c r="AH9" i="1"/>
  <c r="AH10" i="1"/>
  <c r="AH11" i="1"/>
  <c r="AH12" i="1"/>
  <c r="AH13" i="1"/>
  <c r="N3" i="15"/>
  <c r="L6" i="15"/>
  <c r="AI5" i="2"/>
  <c r="BA5" i="2"/>
  <c r="AD6" i="2"/>
  <c r="AW4" i="2"/>
  <c r="AW5" i="2"/>
  <c r="AW6" i="2"/>
  <c r="AW7" i="2"/>
  <c r="AW8" i="2"/>
  <c r="AW9" i="2"/>
  <c r="AW10" i="2"/>
  <c r="AW11" i="2"/>
  <c r="AW12" i="2"/>
  <c r="AW13" i="2"/>
  <c r="AU4" i="2"/>
  <c r="AU5" i="2"/>
  <c r="AU6" i="2"/>
  <c r="AU7" i="2"/>
  <c r="AU8" i="2"/>
  <c r="AU9" i="2"/>
  <c r="AU10" i="2"/>
  <c r="AU11" i="2"/>
  <c r="AU12" i="2"/>
  <c r="AU13" i="2"/>
  <c r="AX4" i="2"/>
  <c r="AX5" i="2"/>
  <c r="AX6" i="2"/>
  <c r="AX7" i="2"/>
  <c r="AX8" i="2"/>
  <c r="AX9" i="2"/>
  <c r="AX10" i="2"/>
  <c r="AX11" i="2"/>
  <c r="AX12" i="2"/>
  <c r="AX13" i="2"/>
  <c r="AV4" i="2"/>
  <c r="AV5" i="2"/>
  <c r="AV6" i="2"/>
  <c r="AV7" i="2"/>
  <c r="AV8" i="2"/>
  <c r="AV9" i="2"/>
  <c r="AV10" i="2"/>
  <c r="AV11" i="2"/>
  <c r="AV12" i="2"/>
  <c r="AV13" i="2"/>
  <c r="BA4" i="2"/>
  <c r="W6" i="2"/>
  <c r="I7" i="15"/>
  <c r="AF20" i="15"/>
  <c r="AP6" i="1"/>
  <c r="AK7" i="1"/>
  <c r="AB6" i="1"/>
  <c r="Z7" i="1"/>
  <c r="I17" i="1"/>
  <c r="I9" i="15"/>
  <c r="K9" i="15"/>
  <c r="I11" i="15"/>
  <c r="AG9" i="1"/>
  <c r="AG10" i="1"/>
  <c r="AG11" i="1"/>
  <c r="AG12" i="1"/>
  <c r="AG13" i="1"/>
  <c r="M3" i="15"/>
  <c r="AI4" i="1"/>
  <c r="BA4" i="1"/>
  <c r="Q21" i="15"/>
  <c r="AK6" i="2"/>
  <c r="R21" i="15"/>
  <c r="AB5" i="1"/>
  <c r="AA6" i="1"/>
  <c r="I14" i="2"/>
  <c r="AB4" i="2"/>
  <c r="I14" i="1"/>
  <c r="AB4" i="1"/>
  <c r="I18" i="1"/>
  <c r="AA6" i="2"/>
  <c r="Z6" i="2"/>
  <c r="Z7" i="2"/>
  <c r="AY6" i="2"/>
  <c r="AK7" i="2"/>
  <c r="AP6" i="2"/>
  <c r="AY7" i="1"/>
  <c r="Z8" i="1"/>
  <c r="AP7" i="1"/>
  <c r="AK8" i="1"/>
  <c r="AB6" i="2"/>
  <c r="W7" i="2"/>
  <c r="AI6" i="2"/>
  <c r="BA6" i="2"/>
  <c r="AD7" i="2"/>
  <c r="AI6" i="1"/>
  <c r="BA6" i="1"/>
  <c r="AD7" i="1"/>
  <c r="AB8" i="1"/>
  <c r="W9" i="1"/>
  <c r="AZ6" i="2"/>
  <c r="AA7" i="2"/>
  <c r="AZ6" i="1"/>
  <c r="AA7" i="1"/>
  <c r="I6" i="15"/>
  <c r="AF19" i="15"/>
  <c r="AZ7" i="1"/>
  <c r="AA8" i="1"/>
  <c r="AZ7" i="2"/>
  <c r="AA8" i="2"/>
  <c r="AB9" i="1"/>
  <c r="W10" i="1"/>
  <c r="AI7" i="1"/>
  <c r="BA7" i="1"/>
  <c r="AD8" i="1"/>
  <c r="AI7" i="2"/>
  <c r="AD8" i="2"/>
  <c r="AB7" i="2"/>
  <c r="W8" i="2"/>
  <c r="AP8" i="1"/>
  <c r="AK9" i="1"/>
  <c r="AY8" i="1"/>
  <c r="Z9" i="1"/>
  <c r="AP7" i="2"/>
  <c r="AK8" i="2"/>
  <c r="AY7" i="2"/>
  <c r="Z8" i="2"/>
  <c r="AY8" i="2"/>
  <c r="Z9" i="2"/>
  <c r="AP8" i="2"/>
  <c r="AK9" i="2"/>
  <c r="AY9" i="1"/>
  <c r="Z10" i="1"/>
  <c r="AP9" i="1"/>
  <c r="AK10" i="1"/>
  <c r="AB8" i="2"/>
  <c r="W9" i="2"/>
  <c r="AI8" i="2"/>
  <c r="BA8" i="2"/>
  <c r="AD9" i="2"/>
  <c r="AI8" i="1"/>
  <c r="BA8" i="1"/>
  <c r="AD9" i="1"/>
  <c r="AB10" i="1"/>
  <c r="W11" i="1"/>
  <c r="AZ8" i="2"/>
  <c r="AA9" i="2"/>
  <c r="AZ8" i="1"/>
  <c r="AA9" i="1"/>
  <c r="BA7" i="2"/>
  <c r="AZ9" i="1"/>
  <c r="AA10" i="1"/>
  <c r="AZ9" i="2"/>
  <c r="AA10" i="2"/>
  <c r="AB11" i="1"/>
  <c r="W12" i="1"/>
  <c r="AI9" i="1"/>
  <c r="BA9" i="1"/>
  <c r="AD10" i="1"/>
  <c r="AI9" i="2"/>
  <c r="AD10" i="2"/>
  <c r="AB9" i="2"/>
  <c r="W10" i="2"/>
  <c r="AP10" i="1"/>
  <c r="AK11" i="1"/>
  <c r="AY10" i="1"/>
  <c r="Z11" i="1"/>
  <c r="AP9" i="2"/>
  <c r="AK10" i="2"/>
  <c r="AY9" i="2"/>
  <c r="Z10" i="2"/>
  <c r="Z11" i="2"/>
  <c r="AY10" i="2"/>
  <c r="AP10" i="2"/>
  <c r="AK11" i="2"/>
  <c r="AY11" i="1"/>
  <c r="Z12" i="1"/>
  <c r="AP11" i="1"/>
  <c r="AK12" i="1"/>
  <c r="W11" i="2"/>
  <c r="AB10" i="2"/>
  <c r="AD11" i="2"/>
  <c r="AI10" i="2"/>
  <c r="AI10" i="1"/>
  <c r="BA10" i="1"/>
  <c r="AD11" i="1"/>
  <c r="AB12" i="1"/>
  <c r="W13" i="1"/>
  <c r="AZ10" i="2"/>
  <c r="AA11" i="2"/>
  <c r="AZ10" i="1"/>
  <c r="AA11" i="1"/>
  <c r="BA9" i="2"/>
  <c r="BA10" i="2"/>
  <c r="AZ11" i="1"/>
  <c r="AA12" i="1"/>
  <c r="AZ11" i="2"/>
  <c r="AA12" i="2"/>
  <c r="C3" i="15"/>
  <c r="AB13" i="1"/>
  <c r="H3" i="15"/>
  <c r="AI11" i="1"/>
  <c r="BA11" i="1"/>
  <c r="AD12" i="1"/>
  <c r="AP12" i="1"/>
  <c r="AK13" i="1"/>
  <c r="AY12" i="1"/>
  <c r="Z13" i="1"/>
  <c r="AP11" i="2"/>
  <c r="AK12" i="2"/>
  <c r="AI11" i="2"/>
  <c r="BA11" i="2"/>
  <c r="AD12" i="2"/>
  <c r="AB11" i="2"/>
  <c r="W12" i="2"/>
  <c r="AY11" i="2"/>
  <c r="Z12" i="2"/>
  <c r="AY12" i="2"/>
  <c r="Z13" i="2"/>
  <c r="AB12" i="2"/>
  <c r="W13" i="2"/>
  <c r="AI12" i="2"/>
  <c r="AD13" i="2"/>
  <c r="AP12" i="2"/>
  <c r="AK13" i="2"/>
  <c r="F3" i="15"/>
  <c r="AY13" i="1"/>
  <c r="AP13" i="1"/>
  <c r="V3" i="15"/>
  <c r="Q3" i="15"/>
  <c r="AG19" i="15"/>
  <c r="AI12" i="1"/>
  <c r="BA12" i="1"/>
  <c r="AD13" i="1"/>
  <c r="AZ12" i="2"/>
  <c r="AA13" i="2"/>
  <c r="AZ12" i="1"/>
  <c r="AA13" i="1"/>
  <c r="AC19" i="15"/>
  <c r="G3" i="15"/>
  <c r="E6" i="15"/>
  <c r="AZ13" i="1"/>
  <c r="G4" i="15"/>
  <c r="E7" i="15"/>
  <c r="AZ13" i="2"/>
  <c r="J3" i="15"/>
  <c r="AI13" i="1"/>
  <c r="Q4" i="15"/>
  <c r="AP13" i="2"/>
  <c r="V4" i="15"/>
  <c r="AI13" i="2"/>
  <c r="J4" i="15"/>
  <c r="AE20" i="15"/>
  <c r="C4" i="15"/>
  <c r="AB13" i="2"/>
  <c r="H4" i="15"/>
  <c r="F4" i="15"/>
  <c r="AY13" i="2"/>
  <c r="B6" i="15"/>
  <c r="BA12" i="2"/>
  <c r="AD19" i="15"/>
  <c r="O3" i="15"/>
  <c r="F9" i="15"/>
  <c r="BA13" i="1"/>
  <c r="B9" i="15"/>
  <c r="N16" i="15"/>
  <c r="U16" i="15"/>
  <c r="V2" i="14"/>
  <c r="D9" i="15"/>
  <c r="B7" i="15"/>
  <c r="AD20" i="15"/>
  <c r="W7" i="15"/>
  <c r="AC20" i="15"/>
  <c r="W5" i="15"/>
  <c r="W6" i="15"/>
  <c r="O4" i="15"/>
  <c r="F10" i="15"/>
  <c r="BA13" i="2"/>
  <c r="V7" i="15"/>
  <c r="AG20" i="15"/>
  <c r="V5" i="15"/>
  <c r="AE19" i="15"/>
  <c r="V6" i="15"/>
  <c r="M20" i="14"/>
  <c r="D13" i="15"/>
  <c r="P20" i="14"/>
  <c r="Q2" i="14"/>
  <c r="T7" i="14"/>
  <c r="G13" i="15"/>
  <c r="H16" i="15"/>
  <c r="O20" i="14"/>
  <c r="P2" i="14"/>
  <c r="F13" i="15"/>
  <c r="G16" i="15"/>
  <c r="V7" i="14"/>
  <c r="M21" i="15"/>
  <c r="Q20" i="14"/>
  <c r="R2" i="14"/>
  <c r="U7" i="14"/>
  <c r="W7" i="14"/>
  <c r="H13" i="15"/>
  <c r="I16" i="15"/>
  <c r="N21" i="15"/>
  <c r="S20" i="14"/>
  <c r="T2" i="14"/>
  <c r="J13" i="15"/>
  <c r="K16" i="15"/>
  <c r="B10" i="15"/>
  <c r="O16" i="15"/>
  <c r="V16" i="15"/>
  <c r="W2" i="14"/>
  <c r="AF13" i="14"/>
  <c r="D10" i="15"/>
  <c r="AN6" i="14"/>
  <c r="B13" i="15"/>
  <c r="C16" i="15"/>
  <c r="K20" i="14"/>
  <c r="L2" i="14"/>
  <c r="B11" i="15"/>
  <c r="A13" i="15"/>
  <c r="H9" i="15"/>
  <c r="R20" i="14"/>
  <c r="S2" i="14"/>
  <c r="I13" i="15"/>
  <c r="J16" i="15"/>
  <c r="AG13" i="14"/>
  <c r="AH13" i="14"/>
  <c r="O7" i="14"/>
  <c r="AK32" i="14"/>
  <c r="N20" i="14"/>
  <c r="E13" i="15"/>
  <c r="J21" i="15"/>
  <c r="A11" i="14"/>
  <c r="M16" i="15"/>
  <c r="B11" i="14"/>
  <c r="F4" i="14"/>
  <c r="K21" i="15"/>
  <c r="AG11" i="14"/>
  <c r="AF11" i="14"/>
  <c r="AH11" i="14"/>
  <c r="AF37" i="14"/>
  <c r="J20" i="14"/>
  <c r="K2" i="14"/>
  <c r="B16" i="15"/>
  <c r="E21" i="15"/>
  <c r="F21" i="15"/>
  <c r="C13" i="15"/>
  <c r="D16" i="15"/>
  <c r="G21" i="15"/>
  <c r="L20" i="14"/>
  <c r="M2" i="14"/>
  <c r="P7" i="14"/>
  <c r="Z2" i="14"/>
  <c r="H10" i="15"/>
  <c r="C11" i="14"/>
  <c r="L21" i="15"/>
  <c r="AK3" i="14"/>
  <c r="AJ3" i="14"/>
  <c r="U2" i="14"/>
  <c r="AM12" i="14"/>
  <c r="AF38" i="14"/>
  <c r="S7" i="14"/>
  <c r="AF10" i="14"/>
  <c r="AF36" i="14"/>
  <c r="AG10" i="14"/>
  <c r="F5" i="14"/>
  <c r="E11" i="14"/>
  <c r="L16" i="15"/>
  <c r="AG5" i="14"/>
  <c r="AF5" i="14"/>
  <c r="AK2" i="14"/>
  <c r="AJ2" i="14"/>
  <c r="H8" i="14"/>
  <c r="F3" i="14"/>
  <c r="D11" i="14"/>
  <c r="AK31" i="14"/>
  <c r="AF9" i="14"/>
  <c r="A38" i="15"/>
  <c r="C38" i="15"/>
  <c r="R16" i="15"/>
  <c r="A34" i="15"/>
  <c r="Q16" i="15"/>
  <c r="O21" i="15"/>
  <c r="AN5" i="14"/>
  <c r="N7" i="14"/>
  <c r="P21" i="15"/>
  <c r="AG9" i="14"/>
  <c r="AN4" i="14"/>
  <c r="Y2" i="14"/>
  <c r="X7" i="14"/>
  <c r="AC7" i="14"/>
  <c r="AK33" i="14"/>
  <c r="AN7" i="14"/>
  <c r="AF12" i="14"/>
  <c r="AG12" i="14"/>
  <c r="AB7" i="14"/>
  <c r="C34" i="15"/>
  <c r="C30" i="15"/>
  <c r="A30" i="15"/>
  <c r="AG4" i="14"/>
  <c r="AF4" i="14"/>
  <c r="AG3" i="14"/>
  <c r="AF35" i="14"/>
  <c r="AF3" i="14"/>
  <c r="AG6" i="14"/>
  <c r="AF6" i="14"/>
  <c r="AL11" i="14"/>
  <c r="AK11" i="14"/>
  <c r="AO2" i="14"/>
  <c r="AO3" i="14"/>
  <c r="AP6" i="14"/>
  <c r="Q12" i="14"/>
  <c r="Q12" i="15"/>
  <c r="F4" i="22"/>
  <c r="T21" i="15"/>
  <c r="AI19" i="14"/>
  <c r="AH9" i="14"/>
  <c r="AH5" i="14"/>
  <c r="AF32" i="14"/>
  <c r="S21" i="15"/>
  <c r="AH10" i="14"/>
  <c r="AP5" i="14"/>
  <c r="P12" i="14"/>
  <c r="AP4" i="14"/>
  <c r="AN12" i="14"/>
  <c r="AO12" i="14"/>
  <c r="AO13" i="14"/>
  <c r="AF31" i="14"/>
  <c r="AH4" i="14"/>
  <c r="AH12" i="14"/>
  <c r="AF33" i="14"/>
  <c r="AH6" i="14"/>
  <c r="AF19" i="14"/>
  <c r="AH3" i="14"/>
  <c r="AF15" i="14"/>
  <c r="AF16" i="14"/>
  <c r="J12" i="14"/>
  <c r="AJ19" i="14"/>
  <c r="AG19" i="14"/>
  <c r="AG15" i="14"/>
  <c r="AG16" i="14"/>
  <c r="L12" i="14"/>
  <c r="AK19" i="14"/>
  <c r="AJ21" i="14"/>
  <c r="AK21" i="14"/>
  <c r="AH15" i="14"/>
  <c r="AH16" i="14"/>
  <c r="N12" i="14"/>
  <c r="T12" i="14"/>
  <c r="AH19" i="14"/>
  <c r="AG21" i="14"/>
  <c r="AH21" i="14"/>
  <c r="AF42" i="14"/>
  <c r="AH42" i="14"/>
  <c r="AF40" i="14"/>
  <c r="AH40" i="14"/>
  <c r="AF41" i="14"/>
  <c r="AH41" i="14"/>
  <c r="AK40" i="14"/>
  <c r="AO38" i="14"/>
  <c r="K15" i="14"/>
  <c r="AM41" i="14"/>
  <c r="AH45" i="14"/>
  <c r="AK42" i="14"/>
  <c r="K14" i="14"/>
  <c r="AM40" i="14"/>
  <c r="K16" i="14"/>
  <c r="AI22" i="14"/>
  <c r="AJ7" i="14"/>
  <c r="AJ8" i="14"/>
  <c r="J4" i="22"/>
  <c r="AN41" i="14"/>
  <c r="AO41" i="14"/>
  <c r="AO40" i="14"/>
  <c r="AO39" i="14"/>
  <c r="AO37" i="14"/>
  <c r="AN40" i="14"/>
  <c r="AN42" i="14"/>
  <c r="AK41" i="14"/>
  <c r="AK43" i="14"/>
  <c r="AN18" i="14"/>
  <c r="R12" i="14"/>
</calcChain>
</file>

<file path=xl/sharedStrings.xml><?xml version="1.0" encoding="utf-8"?>
<sst xmlns="http://schemas.openxmlformats.org/spreadsheetml/2006/main" count="446" uniqueCount="209">
  <si>
    <t>Счёт</t>
  </si>
  <si>
    <t>Заб</t>
  </si>
  <si>
    <t>Проп</t>
  </si>
  <si>
    <t>Рез</t>
  </si>
  <si>
    <t>Турнир</t>
  </si>
  <si>
    <t>Дом</t>
  </si>
  <si>
    <t>Гость</t>
  </si>
  <si>
    <t>Где играла</t>
  </si>
  <si>
    <t>Всего</t>
  </si>
  <si>
    <t>Дома</t>
  </si>
  <si>
    <t>В гостях</t>
  </si>
  <si>
    <t>Забивают дома</t>
  </si>
  <si>
    <t>Забивают в гостях</t>
  </si>
  <si>
    <t>Команда1</t>
  </si>
  <si>
    <t>Команда2</t>
  </si>
  <si>
    <t>Голы1</t>
  </si>
  <si>
    <t>Голы2</t>
  </si>
  <si>
    <t>Результат</t>
  </si>
  <si>
    <t>Забито</t>
  </si>
  <si>
    <t>Пропущено</t>
  </si>
  <si>
    <t>Игр</t>
  </si>
  <si>
    <t>В</t>
  </si>
  <si>
    <t>Н</t>
  </si>
  <si>
    <t>П</t>
  </si>
  <si>
    <t>Очки</t>
  </si>
  <si>
    <t>3+</t>
  </si>
  <si>
    <t>Забивают</t>
  </si>
  <si>
    <t>Пропускают</t>
  </si>
  <si>
    <t>Рейтинг</t>
  </si>
  <si>
    <t>На выезде</t>
  </si>
  <si>
    <t>Хозяева</t>
  </si>
  <si>
    <t>Гости</t>
  </si>
  <si>
    <t>X</t>
  </si>
  <si>
    <t>Тоталы</t>
  </si>
  <si>
    <t>Ср. тотал</t>
  </si>
  <si>
    <t>Мощь</t>
  </si>
  <si>
    <t>Счет</t>
  </si>
  <si>
    <t>Забит</t>
  </si>
  <si>
    <t>Набр</t>
  </si>
  <si>
    <t>Потер</t>
  </si>
  <si>
    <t>Ср. заб.</t>
  </si>
  <si>
    <t>Общий</t>
  </si>
  <si>
    <t>Т(2.5)</t>
  </si>
  <si>
    <t>Т1</t>
  </si>
  <si>
    <t>Т2</t>
  </si>
  <si>
    <t>1-Х-2</t>
  </si>
  <si>
    <t>Итоги</t>
  </si>
  <si>
    <t>Серия</t>
  </si>
  <si>
    <t>Фора</t>
  </si>
  <si>
    <t>1Х</t>
  </si>
  <si>
    <t>Заб1</t>
  </si>
  <si>
    <t>Заб2</t>
  </si>
  <si>
    <t>10 игр</t>
  </si>
  <si>
    <t>Среднее</t>
  </si>
  <si>
    <t>Команда 1</t>
  </si>
  <si>
    <t>Команда 2</t>
  </si>
  <si>
    <t>Т</t>
  </si>
  <si>
    <t>Х2</t>
  </si>
  <si>
    <t>1Х2</t>
  </si>
  <si>
    <t>Заб 1</t>
  </si>
  <si>
    <t>Заб 2</t>
  </si>
  <si>
    <t>Тотал</t>
  </si>
  <si>
    <t>ТБ(2.5)</t>
  </si>
  <si>
    <t>Динамика</t>
  </si>
  <si>
    <t>тотал</t>
  </si>
  <si>
    <t>Теория лиги</t>
  </si>
  <si>
    <t>4  теста</t>
  </si>
  <si>
    <t>Х</t>
  </si>
  <si>
    <t>№ ТЕСТА</t>
  </si>
  <si>
    <t>ПРОГНОЗ</t>
  </si>
  <si>
    <t>Лига</t>
  </si>
  <si>
    <t>ТБ</t>
  </si>
  <si>
    <t>Тест №1</t>
  </si>
  <si>
    <t>Альтадар</t>
  </si>
  <si>
    <t>Альтад</t>
  </si>
  <si>
    <t>ТМ</t>
  </si>
  <si>
    <t>Ничья</t>
  </si>
  <si>
    <t>Тест № 2</t>
  </si>
  <si>
    <t>Тест1</t>
  </si>
  <si>
    <t>Total. ИТ</t>
  </si>
  <si>
    <t>Тест № 3</t>
  </si>
  <si>
    <t>Тест2</t>
  </si>
  <si>
    <t xml:space="preserve">Total. </t>
  </si>
  <si>
    <t>ТМ 2,5</t>
  </si>
  <si>
    <t>ТБ2,5</t>
  </si>
  <si>
    <t>Тест3</t>
  </si>
  <si>
    <t>Total. Заб</t>
  </si>
  <si>
    <t>Ф1</t>
  </si>
  <si>
    <t>Ф2</t>
  </si>
  <si>
    <t>ИТБ1</t>
  </si>
  <si>
    <t>ИТБ2</t>
  </si>
  <si>
    <t>ИТМ1</t>
  </si>
  <si>
    <t>ИТМ2</t>
  </si>
  <si>
    <t>Total. Счет</t>
  </si>
  <si>
    <t>Альт. ИТ</t>
  </si>
  <si>
    <t>ОЗ: Да</t>
  </si>
  <si>
    <t>ОЗ: Нет</t>
  </si>
  <si>
    <t>Total.</t>
  </si>
  <si>
    <t>Total. Рейтинг</t>
  </si>
  <si>
    <t>СУММ</t>
  </si>
  <si>
    <t>заб</t>
  </si>
  <si>
    <t>ТМ(2.5)</t>
  </si>
  <si>
    <t>Обе забьют</t>
  </si>
  <si>
    <t>Чёт/Нечет</t>
  </si>
  <si>
    <t>ТБ(2.5)1</t>
  </si>
  <si>
    <t>ТБ(2.5)2</t>
  </si>
  <si>
    <t>ТМ(2.5)1</t>
  </si>
  <si>
    <t>ТМ(2.5)2</t>
  </si>
  <si>
    <t>Доп. информация 1-ой команды</t>
  </si>
  <si>
    <t>Доп. информация 2-ой команды</t>
  </si>
  <si>
    <t>ТС1</t>
  </si>
  <si>
    <t>ТС2</t>
  </si>
  <si>
    <t>Сила нападения:</t>
  </si>
  <si>
    <t>Сила защиты:</t>
  </si>
  <si>
    <t>оз</t>
  </si>
  <si>
    <t>альт</t>
  </si>
  <si>
    <t>т1т2</t>
  </si>
  <si>
    <t>счет</t>
  </si>
  <si>
    <t>сумм</t>
  </si>
  <si>
    <t>1х2</t>
  </si>
  <si>
    <t>рейтинг</t>
  </si>
  <si>
    <t>x</t>
  </si>
  <si>
    <t>ВСЕ</t>
  </si>
  <si>
    <t>ХЗ</t>
  </si>
  <si>
    <t>АЛЬТА</t>
  </si>
  <si>
    <t>Анализ Целиком</t>
  </si>
  <si>
    <t>ТБ1</t>
  </si>
  <si>
    <t>ТМ1</t>
  </si>
  <si>
    <t>ТБ2</t>
  </si>
  <si>
    <t>ТМ2</t>
  </si>
  <si>
    <t xml:space="preserve">Забьет гол </t>
  </si>
  <si>
    <t>ВСЕГО</t>
  </si>
  <si>
    <t>ДОМА</t>
  </si>
  <si>
    <t>ВЫЕЗД</t>
  </si>
  <si>
    <t>Заб/Проп</t>
  </si>
  <si>
    <t>WDL</t>
  </si>
  <si>
    <t>1 : 2</t>
  </si>
  <si>
    <t>2 : 1</t>
  </si>
  <si>
    <t>2 : 0</t>
  </si>
  <si>
    <t>PRE</t>
  </si>
  <si>
    <t>PRI</t>
  </si>
  <si>
    <t>Прогноз "Точный счёт 1"</t>
  </si>
  <si>
    <t>Прогноз "Вероятность забитого гола"</t>
  </si>
  <si>
    <t>Прогноз Тоталов  ИТБ / ТБ / ТМ</t>
  </si>
  <si>
    <t>http://vk.com/altadar</t>
  </si>
  <si>
    <t>Прогноз "ИСХОД МАТЧА № 2"</t>
  </si>
  <si>
    <t>Информация на странице неполная. Сами расчёты отсутствуют.</t>
  </si>
  <si>
    <t xml:space="preserve">Рабочий лист вычислений прогнозов с привлечением методик "Теории Синдиката" </t>
  </si>
  <si>
    <t>и таблиц Altadar</t>
  </si>
  <si>
    <t>По причине отсутствия необходимой части расчётов Прогноз "Исход Матча №2" не  является обоснованным</t>
  </si>
  <si>
    <t>Команда 2 (ГОСТИ)</t>
  </si>
  <si>
    <t>Темперлей</t>
  </si>
  <si>
    <t>Унион Санта-Фе</t>
  </si>
  <si>
    <t>Алааб Даманхур</t>
  </si>
  <si>
    <t>Замалек</t>
  </si>
  <si>
    <t>Аласьоти</t>
  </si>
  <si>
    <t>1 : 1</t>
  </si>
  <si>
    <t>Атлетик</t>
  </si>
  <si>
    <t>0 : 1</t>
  </si>
  <si>
    <t>Эйбар</t>
  </si>
  <si>
    <t>1 : 3</t>
  </si>
  <si>
    <t>3 : 0</t>
  </si>
  <si>
    <t>SUP</t>
  </si>
  <si>
    <t>Ольборг</t>
  </si>
  <si>
    <t>Мидтьюлланн</t>
  </si>
  <si>
    <t>Эсбьерг</t>
  </si>
  <si>
    <t>Оденсе</t>
  </si>
  <si>
    <t>CLU</t>
  </si>
  <si>
    <t>Широки Бриег</t>
  </si>
  <si>
    <t>Сёнан</t>
  </si>
  <si>
    <t>Войводина</t>
  </si>
  <si>
    <t xml:space="preserve">Команда 1 </t>
  </si>
  <si>
    <t>Show more matches </t>
  </si>
  <si>
    <t>Score HT/FT</t>
  </si>
  <si>
    <t>0 : 0</t>
  </si>
  <si>
    <t>3 : 1</t>
  </si>
  <si>
    <t>LA</t>
  </si>
  <si>
    <t>COP</t>
  </si>
  <si>
    <t>0 : 3</t>
  </si>
  <si>
    <t>18.03.18</t>
  </si>
  <si>
    <t>04.03.18</t>
  </si>
  <si>
    <t>1 : 0</t>
  </si>
  <si>
    <t>CF</t>
  </si>
  <si>
    <t>05.03.18</t>
  </si>
  <si>
    <t>Last matches: SANTA FE</t>
  </si>
  <si>
    <t>Santa Fe</t>
  </si>
  <si>
    <t>Huila</t>
  </si>
  <si>
    <t>15.03.18</t>
  </si>
  <si>
    <t>Envigado</t>
  </si>
  <si>
    <t>09.03.18</t>
  </si>
  <si>
    <t>Dep. Pasto</t>
  </si>
  <si>
    <t>Bucaramanga</t>
  </si>
  <si>
    <t>01.03.18</t>
  </si>
  <si>
    <t>Emelec</t>
  </si>
  <si>
    <t>Last matches: AMERICA DE CALI</t>
  </si>
  <si>
    <t>19.03.18</t>
  </si>
  <si>
    <t>America De Cali</t>
  </si>
  <si>
    <t>16.03.18</t>
  </si>
  <si>
    <t>Jaguares de Cordoba</t>
  </si>
  <si>
    <t>Defensa y Justicia</t>
  </si>
  <si>
    <t>Millonarios</t>
  </si>
  <si>
    <t>23.02.18</t>
  </si>
  <si>
    <t>Atl. Nacional</t>
  </si>
  <si>
    <t>Head-to-head matches: SANTA FE - AMERICA DE CALI</t>
  </si>
  <si>
    <t>27.01.18</t>
  </si>
  <si>
    <t>05.11.17</t>
  </si>
  <si>
    <t>28.04.17</t>
  </si>
  <si>
    <t>13.10.11</t>
  </si>
  <si>
    <t>20.03.11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</si>
</sst>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_ ;[Red]\-0.00\ "/>
    <numFmt numFmtId="165" formatCode="0.0"/>
    <numFmt numFmtId="166" formatCode="0.0_ ;[Red]\-0.0\ "/>
    <numFmt numFmtId="167" formatCode="0.0%"/>
    <numFmt numFmtId="168" formatCode="0.000"/>
  </numFmts>
  <fonts count="5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0"/>
      <name val="Arial"/>
      <family val="2"/>
      <charset val="204"/>
    </font>
    <font>
      <b/>
      <sz val="11"/>
      <color theme="1" tint="4.9989318521683403E-2"/>
      <name val="Cambria"/>
      <family val="1"/>
      <charset val="204"/>
      <scheme val="major"/>
    </font>
    <font>
      <u/>
      <sz val="11"/>
      <color theme="1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name val="Tahoma"/>
      <family val="2"/>
      <charset val="204"/>
    </font>
    <font>
      <b/>
      <sz val="14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name val="Calibri"/>
      <family val="2"/>
      <charset val="204"/>
      <scheme val="minor"/>
    </font>
    <font>
      <sz val="10"/>
      <name val="Tahoma"/>
      <family val="2"/>
      <charset val="204"/>
    </font>
    <font>
      <sz val="10"/>
      <color indexed="8"/>
      <name val="Tahoma"/>
      <family val="2"/>
      <charset val="1"/>
    </font>
    <font>
      <b/>
      <sz val="12"/>
      <name val="Tahoma"/>
      <family val="2"/>
      <charset val="204"/>
    </font>
    <font>
      <b/>
      <sz val="13"/>
      <name val="Calibri"/>
      <family val="2"/>
      <charset val="204"/>
      <scheme val="minor"/>
    </font>
    <font>
      <sz val="9"/>
      <color indexed="8"/>
      <name val="Verdana"/>
      <family val="2"/>
    </font>
    <font>
      <sz val="9"/>
      <color indexed="9"/>
      <name val="Verdana"/>
      <family val="2"/>
    </font>
    <font>
      <sz val="9"/>
      <color indexed="20"/>
      <name val="Verdana"/>
      <family val="2"/>
    </font>
    <font>
      <b/>
      <sz val="12"/>
      <color indexed="40"/>
      <name val="Arial Cyr"/>
      <family val="2"/>
      <charset val="204"/>
    </font>
    <font>
      <b/>
      <sz val="9"/>
      <color indexed="9"/>
      <name val="Verdana"/>
      <family val="2"/>
    </font>
    <font>
      <sz val="10"/>
      <name val="Mangal"/>
      <family val="2"/>
      <charset val="204"/>
    </font>
    <font>
      <i/>
      <sz val="9"/>
      <color indexed="23"/>
      <name val="Verdana"/>
      <family val="2"/>
    </font>
    <font>
      <sz val="9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9"/>
      <color indexed="62"/>
      <name val="Verdana"/>
      <family val="2"/>
    </font>
    <font>
      <sz val="9"/>
      <color indexed="52"/>
      <name val="Verdana"/>
      <family val="2"/>
    </font>
    <font>
      <sz val="9"/>
      <color indexed="60"/>
      <name val="Verdana"/>
      <family val="2"/>
    </font>
    <font>
      <sz val="10"/>
      <name val="Arial"/>
      <family val="2"/>
    </font>
    <font>
      <b/>
      <sz val="9"/>
      <color indexed="63"/>
      <name val="Verdana"/>
      <family val="2"/>
    </font>
    <font>
      <b/>
      <sz val="18"/>
      <color indexed="56"/>
      <name val="Cambri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u/>
      <sz val="10"/>
      <color theme="10"/>
      <name val="Tahoma"/>
      <family val="2"/>
      <charset val="204"/>
    </font>
    <font>
      <u/>
      <sz val="10"/>
      <color indexed="12"/>
      <name val="Tahoma"/>
      <family val="2"/>
      <charset val="204"/>
    </font>
    <font>
      <u/>
      <sz val="10"/>
      <color indexed="12"/>
      <name val="Arial Cyr"/>
      <charset val="204"/>
    </font>
    <font>
      <sz val="8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0"/>
      <name val="Arial Cyr"/>
      <charset val="204"/>
    </font>
    <font>
      <u/>
      <sz val="10"/>
      <name val="Calibri"/>
      <family val="2"/>
      <charset val="204"/>
      <scheme val="minor"/>
    </font>
    <font>
      <b/>
      <u/>
      <sz val="10"/>
      <color theme="10"/>
      <name val="Calibri"/>
      <family val="2"/>
      <charset val="204"/>
    </font>
    <font>
      <b/>
      <sz val="10"/>
      <color rgb="FFC000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b/>
      <sz val="11"/>
      <color theme="0"/>
      <name val="Algerian"/>
      <family val="5"/>
    </font>
    <font>
      <sz val="11"/>
      <color rgb="FF0070C0"/>
      <name val="Algerian"/>
      <family val="5"/>
    </font>
    <font>
      <sz val="28"/>
      <color rgb="FFFFFF00"/>
      <name val="Algerian"/>
      <family val="5"/>
    </font>
    <font>
      <sz val="11"/>
      <color rgb="FFFFFF00"/>
      <name val="Algerian"/>
      <family val="5"/>
    </font>
    <font>
      <sz val="36"/>
      <color rgb="FFFFFF00"/>
      <name val="Algerian"/>
      <family val="5"/>
    </font>
    <font>
      <b/>
      <sz val="11"/>
      <color rgb="FFFF0000"/>
      <name val="Algerian"/>
      <family val="5"/>
    </font>
    <font>
      <sz val="11"/>
      <color theme="0"/>
      <name val="Algerian"/>
      <family val="5"/>
    </font>
  </fonts>
  <fills count="3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darkGray">
        <fgColor theme="0"/>
        <bgColor theme="3" tint="0.5999633777886288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darkGray">
        <fgColor theme="0"/>
        <bgColor theme="0"/>
      </patternFill>
    </fill>
    <fill>
      <patternFill patternType="solid">
        <fgColor theme="0"/>
      </patternFill>
    </fill>
    <fill>
      <patternFill patternType="solid">
        <fgColor theme="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</fills>
  <borders count="6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5" fillId="3" borderId="5">
      <alignment horizontal="center" shrinkToFit="1"/>
    </xf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18" fillId="0" borderId="0"/>
    <xf numFmtId="0" fontId="3" fillId="0" borderId="0"/>
    <xf numFmtId="0" fontId="4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8" borderId="0" applyNumberFormat="0" applyBorder="0" applyAlignment="0" applyProtection="0"/>
    <xf numFmtId="0" fontId="23" fillId="12" borderId="0" applyNumberFormat="0" applyBorder="0" applyAlignment="0" applyProtection="0"/>
    <xf numFmtId="0" fontId="24" fillId="0" borderId="45">
      <alignment horizontal="center" vertical="center"/>
    </xf>
    <xf numFmtId="0" fontId="25" fillId="30" borderId="47" applyNumberFormat="0" applyAlignment="0" applyProtection="0"/>
    <xf numFmtId="0" fontId="26" fillId="0" borderId="0" applyNumberFormat="0" applyFill="0" applyBorder="0" applyAlignment="0" applyProtection="0"/>
    <xf numFmtId="0" fontId="18" fillId="0" borderId="0"/>
    <xf numFmtId="0" fontId="27" fillId="0" borderId="0" applyNumberFormat="0" applyFill="0" applyBorder="0" applyAlignment="0" applyProtection="0"/>
    <xf numFmtId="0" fontId="28" fillId="13" borderId="0" applyNumberFormat="0" applyBorder="0" applyAlignment="0" applyProtection="0"/>
    <xf numFmtId="0" fontId="29" fillId="0" borderId="48" applyNumberFormat="0" applyFill="0" applyAlignment="0" applyProtection="0"/>
    <xf numFmtId="0" fontId="30" fillId="0" borderId="49" applyNumberFormat="0" applyFill="0" applyAlignment="0" applyProtection="0"/>
    <xf numFmtId="0" fontId="31" fillId="0" borderId="50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46" applyNumberFormat="0" applyAlignment="0" applyProtection="0"/>
    <xf numFmtId="0" fontId="33" fillId="0" borderId="51" applyNumberFormat="0" applyFill="0" applyAlignment="0" applyProtection="0"/>
    <xf numFmtId="0" fontId="34" fillId="31" borderId="0" applyNumberFormat="0" applyBorder="0" applyAlignment="0" applyProtection="0"/>
    <xf numFmtId="0" fontId="35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35" fillId="32" borderId="52" applyNumberFormat="0" applyFont="0" applyAlignment="0" applyProtection="0"/>
    <xf numFmtId="0" fontId="36" fillId="29" borderId="53" applyNumberFormat="0" applyAlignment="0" applyProtection="0"/>
    <xf numFmtId="0" fontId="37" fillId="0" borderId="0" applyNumberFormat="0" applyFill="0" applyBorder="0" applyAlignment="0" applyProtection="0"/>
    <xf numFmtId="0" fontId="38" fillId="0" borderId="54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43" fillId="0" borderId="0"/>
    <xf numFmtId="0" fontId="3" fillId="0" borderId="0"/>
    <xf numFmtId="0" fontId="1" fillId="0" borderId="0"/>
    <xf numFmtId="0" fontId="44" fillId="0" borderId="0"/>
    <xf numFmtId="0" fontId="3" fillId="0" borderId="0"/>
    <xf numFmtId="0" fontId="45" fillId="0" borderId="0" applyNumberFormat="0" applyFill="0" applyBorder="0" applyProtection="0">
      <alignment vertical="top"/>
    </xf>
    <xf numFmtId="0" fontId="4" fillId="0" borderId="0"/>
    <xf numFmtId="0" fontId="3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10" borderId="44" applyNumberFormat="0" applyFont="0" applyAlignment="0" applyProtection="0"/>
    <xf numFmtId="0" fontId="1" fillId="10" borderId="44" applyNumberFormat="0" applyFont="0" applyAlignment="0" applyProtection="0"/>
    <xf numFmtId="0" fontId="1" fillId="10" borderId="44" applyNumberFormat="0" applyFont="0" applyAlignment="0" applyProtection="0"/>
    <xf numFmtId="0" fontId="1" fillId="10" borderId="44" applyNumberFormat="0" applyFont="0" applyAlignment="0" applyProtection="0"/>
    <xf numFmtId="0" fontId="26" fillId="0" borderId="0" applyNumberFormat="0" applyFill="0" applyBorder="0" applyAlignment="0" applyProtection="0"/>
    <xf numFmtId="9" fontId="4" fillId="0" borderId="0" applyFont="0" applyFill="0" applyBorder="0" applyAlignment="0" applyProtection="0"/>
    <xf numFmtId="49" fontId="46" fillId="0" borderId="0" applyFont="0"/>
  </cellStyleXfs>
  <cellXfs count="193">
    <xf numFmtId="0" fontId="0" fillId="0" borderId="0" xfId="0"/>
    <xf numFmtId="0" fontId="0" fillId="0" borderId="0" xfId="0"/>
    <xf numFmtId="0" fontId="7" fillId="5" borderId="0" xfId="0" applyFont="1" applyFill="1" applyBorder="1" applyProtection="1">
      <protection hidden="1"/>
    </xf>
    <xf numFmtId="0" fontId="7" fillId="0" borderId="0" xfId="0" applyFont="1"/>
    <xf numFmtId="1" fontId="7" fillId="5" borderId="0" xfId="0" applyNumberFormat="1" applyFont="1" applyFill="1" applyBorder="1" applyAlignment="1" applyProtection="1">
      <alignment horizontal="center"/>
      <protection hidden="1"/>
    </xf>
    <xf numFmtId="165" fontId="7" fillId="5" borderId="0" xfId="0" applyNumberFormat="1" applyFont="1" applyFill="1" applyBorder="1" applyAlignment="1" applyProtection="1">
      <alignment horizontal="center"/>
      <protection hidden="1"/>
    </xf>
    <xf numFmtId="1" fontId="8" fillId="5" borderId="0" xfId="0" applyNumberFormat="1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Border="1" applyAlignment="1" applyProtection="1">
      <alignment horizontal="center" vertical="center"/>
      <protection hidden="1"/>
    </xf>
    <xf numFmtId="9" fontId="7" fillId="5" borderId="0" xfId="1" applyFont="1" applyFill="1" applyBorder="1" applyAlignment="1" applyProtection="1">
      <alignment horizontal="center"/>
      <protection hidden="1"/>
    </xf>
    <xf numFmtId="0" fontId="8" fillId="5" borderId="0" xfId="0" applyFont="1" applyFill="1" applyBorder="1" applyAlignment="1" applyProtection="1">
      <alignment horizontal="center"/>
      <protection hidden="1"/>
    </xf>
    <xf numFmtId="2" fontId="8" fillId="5" borderId="0" xfId="0" applyNumberFormat="1" applyFont="1" applyFill="1" applyBorder="1" applyAlignment="1" applyProtection="1">
      <alignment horizontal="center"/>
      <protection hidden="1"/>
    </xf>
    <xf numFmtId="2" fontId="7" fillId="5" borderId="0" xfId="0" applyNumberFormat="1" applyFont="1" applyFill="1" applyBorder="1" applyProtection="1">
      <protection hidden="1"/>
    </xf>
    <xf numFmtId="166" fontId="7" fillId="5" borderId="0" xfId="0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Border="1" applyAlignment="1" applyProtection="1">
      <alignment vertical="center"/>
      <protection hidden="1"/>
    </xf>
    <xf numFmtId="0" fontId="11" fillId="5" borderId="0" xfId="0" applyFont="1" applyFill="1" applyBorder="1" applyProtection="1">
      <protection hidden="1"/>
    </xf>
    <xf numFmtId="0" fontId="12" fillId="0" borderId="0" xfId="0" applyFont="1"/>
    <xf numFmtId="0" fontId="15" fillId="5" borderId="0" xfId="0" applyFont="1" applyFill="1" applyBorder="1" applyAlignment="1" applyProtection="1">
      <protection hidden="1"/>
    </xf>
    <xf numFmtId="0" fontId="15" fillId="5" borderId="0" xfId="0" applyFont="1" applyFill="1" applyBorder="1" applyAlignment="1" applyProtection="1">
      <alignment horizontal="center" vertical="center"/>
      <protection hidden="1"/>
    </xf>
    <xf numFmtId="0" fontId="14" fillId="5" borderId="0" xfId="0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Border="1" applyAlignment="1" applyProtection="1">
      <alignment horizontal="center" vertical="center"/>
      <protection hidden="1"/>
    </xf>
    <xf numFmtId="0" fontId="15" fillId="5" borderId="0" xfId="0" applyFont="1" applyFill="1" applyBorder="1" applyAlignment="1" applyProtection="1">
      <alignment horizontal="center"/>
      <protection hidden="1"/>
    </xf>
    <xf numFmtId="0" fontId="7" fillId="5" borderId="0" xfId="0" applyFont="1" applyFill="1" applyBorder="1" applyAlignment="1" applyProtection="1">
      <alignment horizontal="center"/>
      <protection hidden="1"/>
    </xf>
    <xf numFmtId="0" fontId="7" fillId="5" borderId="0" xfId="0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Border="1" applyAlignment="1" applyProtection="1">
      <alignment horizontal="center" vertical="center"/>
      <protection hidden="1"/>
    </xf>
    <xf numFmtId="1" fontId="8" fillId="5" borderId="0" xfId="0" applyNumberFormat="1" applyFont="1" applyFill="1" applyBorder="1" applyAlignment="1" applyProtection="1">
      <alignment horizontal="center" vertical="center"/>
      <protection hidden="1"/>
    </xf>
    <xf numFmtId="2" fontId="7" fillId="5" borderId="0" xfId="0" applyNumberFormat="1" applyFont="1" applyFill="1" applyBorder="1" applyAlignment="1" applyProtection="1">
      <alignment horizontal="center"/>
      <protection hidden="1"/>
    </xf>
    <xf numFmtId="164" fontId="7" fillId="5" borderId="0" xfId="0" applyNumberFormat="1" applyFont="1" applyFill="1" applyBorder="1" applyAlignment="1" applyProtection="1">
      <alignment horizontal="center"/>
      <protection hidden="1"/>
    </xf>
    <xf numFmtId="9" fontId="7" fillId="5" borderId="0" xfId="0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Border="1" applyAlignment="1" applyProtection="1">
      <alignment horizontal="center"/>
      <protection hidden="1"/>
    </xf>
    <xf numFmtId="9" fontId="8" fillId="5" borderId="0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Fill="1" applyProtection="1">
      <protection hidden="1"/>
    </xf>
    <xf numFmtId="0" fontId="16" fillId="0" borderId="0" xfId="0" applyFont="1" applyFill="1" applyBorder="1" applyProtection="1">
      <protection hidden="1"/>
    </xf>
    <xf numFmtId="0" fontId="16" fillId="0" borderId="0" xfId="0" applyFont="1" applyFill="1" applyProtection="1">
      <protection hidden="1"/>
    </xf>
    <xf numFmtId="0" fontId="12" fillId="0" borderId="0" xfId="0" applyFont="1" applyFill="1"/>
    <xf numFmtId="0" fontId="16" fillId="0" borderId="0" xfId="0" applyFont="1" applyFill="1"/>
    <xf numFmtId="0" fontId="17" fillId="5" borderId="0" xfId="0" applyFont="1" applyFill="1" applyBorder="1" applyAlignment="1" applyProtection="1">
      <alignment horizontal="center"/>
      <protection hidden="1"/>
    </xf>
    <xf numFmtId="0" fontId="16" fillId="5" borderId="0" xfId="0" applyFont="1" applyFill="1" applyBorder="1" applyAlignment="1" applyProtection="1">
      <alignment horizontal="center"/>
      <protection hidden="1"/>
    </xf>
    <xf numFmtId="0" fontId="16" fillId="5" borderId="0" xfId="0" applyFont="1" applyFill="1" applyAlignment="1" applyProtection="1">
      <alignment horizontal="center"/>
      <protection hidden="1"/>
    </xf>
    <xf numFmtId="0" fontId="14" fillId="5" borderId="0" xfId="0" applyFont="1" applyFill="1" applyBorder="1" applyAlignment="1" applyProtection="1">
      <alignment horizontal="center"/>
      <protection hidden="1"/>
    </xf>
    <xf numFmtId="1" fontId="16" fillId="5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horizontal="center"/>
      <protection hidden="1"/>
    </xf>
    <xf numFmtId="2" fontId="16" fillId="5" borderId="0" xfId="0" applyNumberFormat="1" applyFont="1" applyFill="1" applyBorder="1" applyAlignment="1" applyProtection="1">
      <alignment horizontal="center"/>
      <protection hidden="1"/>
    </xf>
    <xf numFmtId="0" fontId="17" fillId="5" borderId="12" xfId="0" applyFont="1" applyFill="1" applyBorder="1" applyAlignment="1" applyProtection="1">
      <alignment horizontal="center"/>
      <protection hidden="1"/>
    </xf>
    <xf numFmtId="0" fontId="17" fillId="5" borderId="4" xfId="0" applyFont="1" applyFill="1" applyBorder="1" applyAlignment="1" applyProtection="1">
      <alignment horizontal="center"/>
      <protection hidden="1"/>
    </xf>
    <xf numFmtId="0" fontId="17" fillId="5" borderId="13" xfId="0" applyFont="1" applyFill="1" applyBorder="1" applyAlignment="1" applyProtection="1">
      <alignment horizontal="center"/>
      <protection hidden="1"/>
    </xf>
    <xf numFmtId="0" fontId="17" fillId="5" borderId="14" xfId="0" applyFont="1" applyFill="1" applyBorder="1" applyAlignment="1" applyProtection="1">
      <alignment horizontal="center"/>
      <protection hidden="1"/>
    </xf>
    <xf numFmtId="0" fontId="17" fillId="5" borderId="15" xfId="0" applyFont="1" applyFill="1" applyBorder="1" applyAlignment="1" applyProtection="1">
      <alignment horizontal="center"/>
      <protection hidden="1"/>
    </xf>
    <xf numFmtId="0" fontId="17" fillId="5" borderId="16" xfId="0" applyFont="1" applyFill="1" applyBorder="1" applyAlignment="1" applyProtection="1">
      <alignment horizontal="center"/>
      <protection hidden="1"/>
    </xf>
    <xf numFmtId="0" fontId="17" fillId="5" borderId="17" xfId="0" applyFont="1" applyFill="1" applyBorder="1" applyAlignment="1" applyProtection="1">
      <alignment horizontal="center"/>
      <protection hidden="1"/>
    </xf>
    <xf numFmtId="0" fontId="17" fillId="5" borderId="18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6" fillId="5" borderId="0" xfId="0" applyFont="1" applyFill="1" applyBorder="1" applyAlignment="1" applyProtection="1">
      <alignment horizontal="left"/>
      <protection hidden="1"/>
    </xf>
    <xf numFmtId="0" fontId="15" fillId="5" borderId="0" xfId="0" applyFont="1" applyFill="1" applyBorder="1" applyAlignment="1" applyProtection="1">
      <alignment horizontal="left"/>
      <protection hidden="1"/>
    </xf>
    <xf numFmtId="0" fontId="15" fillId="5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Alignment="1">
      <alignment horizontal="center"/>
    </xf>
    <xf numFmtId="0" fontId="8" fillId="5" borderId="0" xfId="0" applyFont="1" applyFill="1" applyBorder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16" fillId="5" borderId="0" xfId="0" applyFont="1" applyFill="1" applyBorder="1" applyAlignment="1" applyProtection="1">
      <alignment horizontal="center"/>
      <protection locked="0"/>
    </xf>
    <xf numFmtId="14" fontId="11" fillId="5" borderId="0" xfId="0" applyNumberFormat="1" applyFont="1" applyFill="1" applyBorder="1" applyProtection="1">
      <protection locked="0"/>
    </xf>
    <xf numFmtId="0" fontId="11" fillId="5" borderId="0" xfId="0" applyFont="1" applyFill="1" applyBorder="1" applyProtection="1">
      <protection locked="0"/>
    </xf>
    <xf numFmtId="49" fontId="11" fillId="5" borderId="0" xfId="0" applyNumberFormat="1" applyFont="1" applyFill="1" applyBorder="1" applyProtection="1">
      <protection locked="0"/>
    </xf>
    <xf numFmtId="49" fontId="11" fillId="5" borderId="0" xfId="0" applyNumberFormat="1" applyFont="1" applyFill="1" applyBorder="1" applyAlignment="1" applyProtection="1">
      <alignment horizontal="center" vertical="center"/>
      <protection locked="0"/>
    </xf>
    <xf numFmtId="0" fontId="13" fillId="5" borderId="11" xfId="0" applyFont="1" applyFill="1" applyBorder="1" applyAlignment="1" applyProtection="1">
      <alignment horizontal="center" vertical="center"/>
      <protection hidden="1"/>
    </xf>
    <xf numFmtId="0" fontId="13" fillId="5" borderId="6" xfId="0" applyFont="1" applyFill="1" applyBorder="1" applyAlignment="1" applyProtection="1">
      <alignment horizontal="center" vertical="center"/>
      <protection hidden="1"/>
    </xf>
    <xf numFmtId="49" fontId="12" fillId="5" borderId="19" xfId="0" applyNumberFormat="1" applyFont="1" applyFill="1" applyBorder="1" applyAlignment="1" applyProtection="1">
      <alignment horizontal="center" vertical="center"/>
      <protection locked="0"/>
    </xf>
    <xf numFmtId="49" fontId="12" fillId="5" borderId="20" xfId="0" applyNumberFormat="1" applyFont="1" applyFill="1" applyBorder="1" applyAlignment="1" applyProtection="1">
      <alignment horizontal="center" vertical="center"/>
      <protection locked="0"/>
    </xf>
    <xf numFmtId="49" fontId="12" fillId="5" borderId="21" xfId="0" applyNumberFormat="1" applyFont="1" applyFill="1" applyBorder="1" applyAlignment="1" applyProtection="1">
      <alignment horizontal="center" vertical="center"/>
      <protection locked="0"/>
    </xf>
    <xf numFmtId="49" fontId="12" fillId="5" borderId="22" xfId="0" applyNumberFormat="1" applyFont="1" applyFill="1" applyBorder="1" applyAlignment="1" applyProtection="1">
      <alignment horizontal="center" vertical="center"/>
      <protection locked="0"/>
    </xf>
    <xf numFmtId="49" fontId="12" fillId="5" borderId="2" xfId="0" applyNumberFormat="1" applyFont="1" applyFill="1" applyBorder="1" applyAlignment="1" applyProtection="1">
      <alignment horizontal="center" vertical="center"/>
      <protection locked="0"/>
    </xf>
    <xf numFmtId="49" fontId="12" fillId="5" borderId="23" xfId="0" applyNumberFormat="1" applyFont="1" applyFill="1" applyBorder="1" applyAlignment="1" applyProtection="1">
      <alignment horizontal="center" vertical="center"/>
      <protection locked="0"/>
    </xf>
    <xf numFmtId="49" fontId="12" fillId="5" borderId="27" xfId="0" applyNumberFormat="1" applyFont="1" applyFill="1" applyBorder="1" applyAlignment="1" applyProtection="1">
      <alignment horizontal="center" vertical="center"/>
      <protection locked="0"/>
    </xf>
    <xf numFmtId="49" fontId="12" fillId="5" borderId="28" xfId="0" applyNumberFormat="1" applyFont="1" applyFill="1" applyBorder="1" applyAlignment="1" applyProtection="1">
      <alignment horizontal="center" vertical="center"/>
      <protection locked="0"/>
    </xf>
    <xf numFmtId="49" fontId="12" fillId="5" borderId="29" xfId="0" applyNumberFormat="1" applyFont="1" applyFill="1" applyBorder="1" applyAlignment="1" applyProtection="1">
      <alignment horizontal="center" vertical="center"/>
      <protection locked="0"/>
    </xf>
    <xf numFmtId="49" fontId="12" fillId="5" borderId="30" xfId="0" applyNumberFormat="1" applyFont="1" applyFill="1" applyBorder="1" applyAlignment="1" applyProtection="1">
      <alignment horizontal="center" vertical="center"/>
      <protection locked="0"/>
    </xf>
    <xf numFmtId="49" fontId="12" fillId="5" borderId="31" xfId="0" applyNumberFormat="1" applyFont="1" applyFill="1" applyBorder="1" applyAlignment="1" applyProtection="1">
      <alignment horizontal="center" vertical="center"/>
      <protection locked="0"/>
    </xf>
    <xf numFmtId="49" fontId="12" fillId="5" borderId="32" xfId="0" applyNumberFormat="1" applyFont="1" applyFill="1" applyBorder="1" applyAlignment="1" applyProtection="1">
      <alignment horizontal="center" vertical="center"/>
      <protection locked="0"/>
    </xf>
    <xf numFmtId="49" fontId="12" fillId="5" borderId="33" xfId="0" applyNumberFormat="1" applyFont="1" applyFill="1" applyBorder="1" applyAlignment="1" applyProtection="1">
      <alignment horizontal="center" vertical="center"/>
      <protection locked="0"/>
    </xf>
    <xf numFmtId="0" fontId="13" fillId="5" borderId="36" xfId="0" applyFont="1" applyFill="1" applyBorder="1" applyAlignment="1" applyProtection="1">
      <alignment horizontal="center" vertical="center"/>
      <protection hidden="1"/>
    </xf>
    <xf numFmtId="0" fontId="13" fillId="5" borderId="37" xfId="0" applyFont="1" applyFill="1" applyBorder="1" applyAlignment="1" applyProtection="1">
      <alignment horizontal="center" vertical="center"/>
      <protection hidden="1"/>
    </xf>
    <xf numFmtId="49" fontId="12" fillId="5" borderId="41" xfId="0" applyNumberFormat="1" applyFont="1" applyFill="1" applyBorder="1" applyAlignment="1" applyProtection="1">
      <alignment horizontal="center" vertical="center"/>
      <protection locked="0"/>
    </xf>
    <xf numFmtId="49" fontId="12" fillId="5" borderId="42" xfId="0" applyNumberFormat="1" applyFont="1" applyFill="1" applyBorder="1" applyAlignment="1" applyProtection="1">
      <alignment horizontal="center" vertical="center"/>
      <protection locked="0"/>
    </xf>
    <xf numFmtId="49" fontId="12" fillId="5" borderId="43" xfId="0" applyNumberFormat="1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Border="1" applyAlignment="1" applyProtection="1">
      <alignment horizontal="center"/>
      <protection hidden="1"/>
    </xf>
    <xf numFmtId="9" fontId="7" fillId="5" borderId="0" xfId="0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Border="1" applyAlignment="1" applyProtection="1">
      <alignment horizontal="center"/>
      <protection hidden="1"/>
    </xf>
    <xf numFmtId="0" fontId="9" fillId="5" borderId="0" xfId="0" applyFont="1" applyFill="1" applyBorder="1" applyAlignment="1" applyProtection="1">
      <alignment horizontal="center"/>
      <protection hidden="1"/>
    </xf>
    <xf numFmtId="164" fontId="9" fillId="5" borderId="0" xfId="0" applyNumberFormat="1" applyFont="1" applyFill="1" applyBorder="1" applyAlignment="1" applyProtection="1">
      <alignment horizontal="center"/>
      <protection hidden="1"/>
    </xf>
    <xf numFmtId="0" fontId="16" fillId="5" borderId="0" xfId="4" applyFont="1" applyFill="1" applyBorder="1" applyAlignment="1" applyProtection="1">
      <alignment horizontal="center" vertical="center"/>
      <protection hidden="1"/>
    </xf>
    <xf numFmtId="165" fontId="16" fillId="5" borderId="0" xfId="0" applyNumberFormat="1" applyFont="1" applyFill="1" applyBorder="1" applyAlignment="1" applyProtection="1">
      <alignment horizontal="center" vertical="center"/>
      <protection hidden="1"/>
    </xf>
    <xf numFmtId="1" fontId="16" fillId="5" borderId="0" xfId="4" applyNumberFormat="1" applyFont="1" applyFill="1" applyBorder="1" applyAlignment="1" applyProtection="1">
      <alignment horizontal="center" vertical="center"/>
      <protection hidden="1"/>
    </xf>
    <xf numFmtId="0" fontId="16" fillId="5" borderId="0" xfId="4" applyNumberFormat="1" applyFont="1" applyFill="1" applyBorder="1" applyAlignment="1" applyProtection="1">
      <alignment horizontal="center" vertical="center"/>
      <protection hidden="1"/>
    </xf>
    <xf numFmtId="0" fontId="16" fillId="5" borderId="0" xfId="0" applyNumberFormat="1" applyFont="1" applyFill="1" applyBorder="1" applyAlignment="1" applyProtection="1">
      <alignment horizontal="center" vertical="center"/>
      <protection hidden="1"/>
    </xf>
    <xf numFmtId="9" fontId="16" fillId="5" borderId="0" xfId="0" applyNumberFormat="1" applyFont="1" applyFill="1" applyBorder="1" applyAlignment="1" applyProtection="1">
      <alignment horizontal="center" vertical="center"/>
      <protection hidden="1"/>
    </xf>
    <xf numFmtId="0" fontId="16" fillId="5" borderId="0" xfId="2" applyFont="1" applyFill="1" applyBorder="1" applyAlignment="1" applyProtection="1">
      <alignment horizontal="center" vertical="center"/>
      <protection hidden="1"/>
    </xf>
    <xf numFmtId="9" fontId="16" fillId="5" borderId="0" xfId="6" applyFont="1" applyFill="1" applyBorder="1" applyAlignment="1" applyProtection="1">
      <alignment horizontal="center" vertical="center"/>
      <protection hidden="1"/>
    </xf>
    <xf numFmtId="165" fontId="16" fillId="5" borderId="0" xfId="4" applyNumberFormat="1" applyFont="1" applyFill="1" applyBorder="1" applyAlignment="1" applyProtection="1">
      <alignment horizontal="center" vertical="center"/>
      <protection hidden="1"/>
    </xf>
    <xf numFmtId="0" fontId="16" fillId="5" borderId="0" xfId="9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Border="1" applyAlignment="1" applyProtection="1">
      <alignment horizontal="center" vertical="center"/>
      <protection hidden="1"/>
    </xf>
    <xf numFmtId="0" fontId="16" fillId="6" borderId="0" xfId="3" applyFont="1" applyFill="1" applyBorder="1" applyAlignment="1" applyProtection="1">
      <alignment horizontal="center" vertical="center" shrinkToFit="1"/>
      <protection hidden="1"/>
    </xf>
    <xf numFmtId="0" fontId="16" fillId="0" borderId="0" xfId="0" applyFont="1" applyAlignment="1">
      <alignment horizontal="center" vertical="center"/>
    </xf>
    <xf numFmtId="166" fontId="16" fillId="5" borderId="0" xfId="4" applyNumberFormat="1" applyFont="1" applyFill="1" applyBorder="1" applyAlignment="1" applyProtection="1">
      <alignment horizontal="center" vertical="center"/>
      <protection hidden="1"/>
    </xf>
    <xf numFmtId="9" fontId="16" fillId="5" borderId="0" xfId="4" applyNumberFormat="1" applyFont="1" applyFill="1" applyBorder="1" applyAlignment="1" applyProtection="1">
      <alignment horizontal="center" vertical="center"/>
      <protection hidden="1"/>
    </xf>
    <xf numFmtId="2" fontId="16" fillId="5" borderId="0" xfId="4" applyNumberFormat="1" applyFont="1" applyFill="1" applyBorder="1" applyAlignment="1" applyProtection="1">
      <alignment horizontal="center" vertical="center"/>
      <protection hidden="1"/>
    </xf>
    <xf numFmtId="164" fontId="16" fillId="5" borderId="0" xfId="0" applyNumberFormat="1" applyFont="1" applyFill="1" applyBorder="1" applyAlignment="1" applyProtection="1">
      <alignment horizontal="center" vertical="center"/>
      <protection hidden="1"/>
    </xf>
    <xf numFmtId="9" fontId="16" fillId="5" borderId="0" xfId="2" applyNumberFormat="1" applyFont="1" applyFill="1" applyBorder="1" applyAlignment="1" applyProtection="1">
      <alignment horizontal="center" vertical="center"/>
      <protection hidden="1"/>
    </xf>
    <xf numFmtId="0" fontId="16" fillId="5" borderId="0" xfId="7" applyFont="1" applyFill="1" applyBorder="1" applyAlignment="1" applyProtection="1">
      <alignment horizontal="center" vertical="center"/>
      <protection hidden="1"/>
    </xf>
    <xf numFmtId="9" fontId="16" fillId="5" borderId="0" xfId="7" applyNumberFormat="1" applyFont="1" applyFill="1" applyBorder="1" applyAlignment="1" applyProtection="1">
      <alignment horizontal="center" vertical="center"/>
      <protection hidden="1"/>
    </xf>
    <xf numFmtId="9" fontId="16" fillId="5" borderId="0" xfId="8" applyNumberFormat="1" applyFont="1" applyFill="1" applyBorder="1" applyAlignment="1" applyProtection="1">
      <alignment horizontal="center" vertical="center"/>
      <protection hidden="1"/>
    </xf>
    <xf numFmtId="9" fontId="16" fillId="5" borderId="0" xfId="8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Alignment="1">
      <alignment horizontal="center" vertical="center"/>
    </xf>
    <xf numFmtId="9" fontId="16" fillId="7" borderId="0" xfId="2" applyNumberFormat="1" applyFont="1" applyFill="1" applyBorder="1" applyAlignment="1" applyProtection="1">
      <alignment horizontal="center" vertical="center"/>
      <protection hidden="1"/>
    </xf>
    <xf numFmtId="164" fontId="16" fillId="5" borderId="0" xfId="4" applyNumberFormat="1" applyFont="1" applyFill="1" applyBorder="1" applyAlignment="1" applyProtection="1">
      <alignment horizontal="center" vertical="center"/>
      <protection hidden="1"/>
    </xf>
    <xf numFmtId="0" fontId="16" fillId="9" borderId="12" xfId="0" applyFont="1" applyFill="1" applyBorder="1" applyAlignment="1" applyProtection="1">
      <alignment horizontal="center" vertical="center"/>
      <protection hidden="1"/>
    </xf>
    <xf numFmtId="0" fontId="16" fillId="9" borderId="4" xfId="0" applyFont="1" applyFill="1" applyBorder="1" applyAlignment="1" applyProtection="1">
      <alignment horizontal="center" vertical="center"/>
      <protection hidden="1"/>
    </xf>
    <xf numFmtId="0" fontId="16" fillId="9" borderId="13" xfId="0" applyFont="1" applyFill="1" applyBorder="1" applyAlignment="1" applyProtection="1">
      <alignment horizontal="center" vertical="center"/>
      <protection hidden="1"/>
    </xf>
    <xf numFmtId="0" fontId="14" fillId="9" borderId="14" xfId="0" applyFont="1" applyFill="1" applyBorder="1" applyAlignment="1" applyProtection="1">
      <alignment horizontal="center" vertical="center"/>
      <protection hidden="1"/>
    </xf>
    <xf numFmtId="0" fontId="14" fillId="9" borderId="0" xfId="0" applyFont="1" applyFill="1" applyBorder="1" applyAlignment="1" applyProtection="1">
      <alignment horizontal="center" vertical="center"/>
      <protection hidden="1"/>
    </xf>
    <xf numFmtId="0" fontId="16" fillId="9" borderId="0" xfId="0" applyFont="1" applyFill="1" applyBorder="1" applyAlignment="1" applyProtection="1">
      <alignment horizontal="center" vertical="center"/>
      <protection hidden="1"/>
    </xf>
    <xf numFmtId="0" fontId="16" fillId="9" borderId="15" xfId="0" applyFont="1" applyFill="1" applyBorder="1" applyAlignment="1" applyProtection="1">
      <alignment horizontal="center" vertical="center"/>
      <protection hidden="1"/>
    </xf>
    <xf numFmtId="0" fontId="49" fillId="9" borderId="16" xfId="0" applyFont="1" applyFill="1" applyBorder="1" applyAlignment="1" applyProtection="1">
      <alignment horizontal="center" vertical="center"/>
      <protection hidden="1"/>
    </xf>
    <xf numFmtId="0" fontId="16" fillId="9" borderId="17" xfId="0" applyFont="1" applyFill="1" applyBorder="1" applyAlignment="1" applyProtection="1">
      <alignment horizontal="center" vertical="center"/>
      <protection hidden="1"/>
    </xf>
    <xf numFmtId="0" fontId="16" fillId="9" borderId="18" xfId="0" applyFont="1" applyFill="1" applyBorder="1" applyAlignment="1" applyProtection="1">
      <alignment horizontal="center" vertical="center"/>
      <protection hidden="1"/>
    </xf>
    <xf numFmtId="167" fontId="16" fillId="5" borderId="0" xfId="0" applyNumberFormat="1" applyFont="1" applyFill="1" applyBorder="1" applyAlignment="1" applyProtection="1">
      <alignment horizontal="center" vertical="center"/>
      <protection hidden="1"/>
    </xf>
    <xf numFmtId="0" fontId="16" fillId="8" borderId="0" xfId="0" applyFont="1" applyFill="1" applyBorder="1" applyAlignment="1" applyProtection="1">
      <alignment horizontal="center" vertical="center"/>
      <protection hidden="1"/>
    </xf>
    <xf numFmtId="168" fontId="16" fillId="8" borderId="0" xfId="0" applyNumberFormat="1" applyFont="1" applyFill="1" applyBorder="1" applyAlignment="1" applyProtection="1">
      <alignment horizontal="center" vertical="center"/>
      <protection hidden="1"/>
    </xf>
    <xf numFmtId="0" fontId="17" fillId="5" borderId="0" xfId="9" applyFont="1" applyFill="1" applyBorder="1" applyAlignment="1" applyProtection="1">
      <alignment horizontal="center" vertical="center"/>
      <protection hidden="1"/>
    </xf>
    <xf numFmtId="0" fontId="16" fillId="5" borderId="55" xfId="0" applyFont="1" applyFill="1" applyBorder="1" applyAlignment="1" applyProtection="1">
      <alignment horizontal="center" vertical="center"/>
      <protection hidden="1"/>
    </xf>
    <xf numFmtId="0" fontId="51" fillId="4" borderId="0" xfId="0" applyFont="1" applyFill="1" applyAlignment="1">
      <alignment horizontal="center" vertical="center"/>
    </xf>
    <xf numFmtId="49" fontId="51" fillId="4" borderId="0" xfId="0" applyNumberFormat="1" applyFont="1" applyFill="1" applyAlignment="1">
      <alignment horizontal="center" vertical="center"/>
    </xf>
    <xf numFmtId="0" fontId="52" fillId="4" borderId="0" xfId="0" applyFont="1" applyFill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" fillId="5" borderId="0" xfId="0" applyFont="1" applyFill="1" applyBorder="1" applyAlignment="1" applyProtection="1">
      <alignment horizontal="center" vertical="center"/>
      <protection hidden="1"/>
    </xf>
    <xf numFmtId="0" fontId="9" fillId="5" borderId="0" xfId="0" applyFont="1" applyFill="1" applyBorder="1" applyAlignment="1" applyProtection="1">
      <alignment horizontal="center"/>
      <protection hidden="1"/>
    </xf>
    <xf numFmtId="166" fontId="9" fillId="5" borderId="0" xfId="0" applyNumberFormat="1" applyFont="1" applyFill="1" applyBorder="1" applyAlignment="1" applyProtection="1">
      <alignment horizontal="center"/>
      <protection hidden="1"/>
    </xf>
    <xf numFmtId="0" fontId="7" fillId="5" borderId="0" xfId="0" applyFont="1" applyFill="1" applyBorder="1" applyAlignment="1" applyProtection="1">
      <alignment horizontal="center"/>
      <protection hidden="1"/>
    </xf>
    <xf numFmtId="1" fontId="10" fillId="5" borderId="0" xfId="0" applyNumberFormat="1" applyFont="1" applyFill="1" applyBorder="1" applyAlignment="1" applyProtection="1">
      <alignment horizontal="center" vertical="center"/>
      <protection hidden="1"/>
    </xf>
    <xf numFmtId="9" fontId="8" fillId="5" borderId="0" xfId="0" applyNumberFormat="1" applyFont="1" applyFill="1" applyBorder="1" applyAlignment="1" applyProtection="1">
      <alignment horizontal="center"/>
      <protection hidden="1"/>
    </xf>
    <xf numFmtId="9" fontId="7" fillId="5" borderId="0" xfId="0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Border="1" applyAlignment="1" applyProtection="1">
      <alignment horizontal="center" vertical="center"/>
      <protection hidden="1"/>
    </xf>
    <xf numFmtId="166" fontId="8" fillId="5" borderId="0" xfId="0" applyNumberFormat="1" applyFont="1" applyFill="1" applyBorder="1" applyAlignment="1" applyProtection="1">
      <alignment horizontal="center" vertical="center"/>
      <protection hidden="1"/>
    </xf>
    <xf numFmtId="0" fontId="10" fillId="5" borderId="0" xfId="0" applyFont="1" applyFill="1" applyBorder="1" applyAlignment="1" applyProtection="1">
      <alignment horizontal="center" vertical="center"/>
      <protection hidden="1"/>
    </xf>
    <xf numFmtId="2" fontId="7" fillId="5" borderId="0" xfId="0" applyNumberFormat="1" applyFont="1" applyFill="1" applyBorder="1" applyAlignment="1" applyProtection="1">
      <alignment horizontal="center"/>
      <protection hidden="1"/>
    </xf>
    <xf numFmtId="164" fontId="7" fillId="5" borderId="0" xfId="0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Border="1" applyAlignment="1" applyProtection="1">
      <alignment horizontal="center"/>
      <protection hidden="1"/>
    </xf>
    <xf numFmtId="0" fontId="54" fillId="4" borderId="56" xfId="0" applyFont="1" applyFill="1" applyBorder="1" applyAlignment="1">
      <alignment horizontal="center" vertical="center"/>
    </xf>
    <xf numFmtId="0" fontId="53" fillId="4" borderId="56" xfId="0" applyFont="1" applyFill="1" applyBorder="1" applyAlignment="1">
      <alignment horizontal="center" vertical="center"/>
    </xf>
    <xf numFmtId="0" fontId="55" fillId="4" borderId="56" xfId="0" applyFont="1" applyFill="1" applyBorder="1" applyAlignment="1">
      <alignment horizontal="center" vertical="center"/>
    </xf>
    <xf numFmtId="0" fontId="20" fillId="5" borderId="0" xfId="0" applyFont="1" applyFill="1" applyAlignment="1" applyProtection="1">
      <alignment horizontal="center" vertical="center" wrapText="1"/>
      <protection hidden="1"/>
    </xf>
    <xf numFmtId="0" fontId="15" fillId="5" borderId="0" xfId="0" applyFont="1" applyFill="1" applyBorder="1" applyAlignment="1" applyProtection="1">
      <alignment horizontal="center"/>
      <protection hidden="1"/>
    </xf>
    <xf numFmtId="0" fontId="9" fillId="5" borderId="34" xfId="0" applyFont="1" applyFill="1" applyBorder="1" applyAlignment="1" applyProtection="1">
      <alignment horizontal="center" vertical="center"/>
      <protection hidden="1"/>
    </xf>
    <xf numFmtId="0" fontId="9" fillId="5" borderId="35" xfId="0" applyFont="1" applyFill="1" applyBorder="1" applyAlignment="1" applyProtection="1">
      <alignment horizontal="center" vertical="center"/>
      <protection hidden="1"/>
    </xf>
    <xf numFmtId="0" fontId="19" fillId="5" borderId="24" xfId="0" applyFont="1" applyFill="1" applyBorder="1" applyAlignment="1" applyProtection="1">
      <alignment horizontal="center" vertical="center" wrapText="1"/>
      <protection hidden="1"/>
    </xf>
    <xf numFmtId="0" fontId="19" fillId="5" borderId="25" xfId="0" applyFont="1" applyFill="1" applyBorder="1" applyAlignment="1" applyProtection="1">
      <alignment horizontal="center" vertical="center"/>
      <protection hidden="1"/>
    </xf>
    <xf numFmtId="0" fontId="19" fillId="5" borderId="26" xfId="0" applyFont="1" applyFill="1" applyBorder="1" applyAlignment="1" applyProtection="1">
      <alignment horizontal="center" vertical="center"/>
      <protection hidden="1"/>
    </xf>
    <xf numFmtId="0" fontId="19" fillId="5" borderId="38" xfId="0" applyFont="1" applyFill="1" applyBorder="1" applyAlignment="1" applyProtection="1">
      <alignment horizontal="center" vertical="center"/>
      <protection hidden="1"/>
    </xf>
    <xf numFmtId="0" fontId="19" fillId="5" borderId="39" xfId="0" applyFont="1" applyFill="1" applyBorder="1" applyAlignment="1" applyProtection="1">
      <alignment horizontal="center" vertical="center"/>
      <protection hidden="1"/>
    </xf>
    <xf numFmtId="0" fontId="19" fillId="5" borderId="40" xfId="0" applyFont="1" applyFill="1" applyBorder="1" applyAlignment="1" applyProtection="1">
      <alignment horizontal="center" vertical="center"/>
      <protection hidden="1"/>
    </xf>
    <xf numFmtId="0" fontId="19" fillId="5" borderId="6" xfId="0" applyFont="1" applyFill="1" applyBorder="1" applyAlignment="1" applyProtection="1">
      <alignment horizontal="center" vertical="center" wrapText="1"/>
      <protection hidden="1"/>
    </xf>
    <xf numFmtId="0" fontId="19" fillId="5" borderId="3" xfId="0" applyFont="1" applyFill="1" applyBorder="1" applyAlignment="1" applyProtection="1">
      <alignment horizontal="center" vertical="center"/>
      <protection hidden="1"/>
    </xf>
    <xf numFmtId="0" fontId="19" fillId="5" borderId="7" xfId="0" applyFont="1" applyFill="1" applyBorder="1" applyAlignment="1" applyProtection="1">
      <alignment horizontal="center" vertical="center"/>
      <protection hidden="1"/>
    </xf>
    <xf numFmtId="0" fontId="19" fillId="5" borderId="8" xfId="0" applyFont="1" applyFill="1" applyBorder="1" applyAlignment="1" applyProtection="1">
      <alignment horizontal="center" vertical="center"/>
      <protection hidden="1"/>
    </xf>
    <xf numFmtId="0" fontId="19" fillId="5" borderId="9" xfId="0" applyFont="1" applyFill="1" applyBorder="1" applyAlignment="1" applyProtection="1">
      <alignment horizontal="center" vertical="center"/>
      <protection hidden="1"/>
    </xf>
    <xf numFmtId="0" fontId="19" fillId="5" borderId="10" xfId="0" applyFont="1" applyFill="1" applyBorder="1" applyAlignment="1" applyProtection="1">
      <alignment horizontal="center" vertical="center"/>
      <protection hidden="1"/>
    </xf>
    <xf numFmtId="0" fontId="9" fillId="5" borderId="6" xfId="0" applyFont="1" applyFill="1" applyBorder="1" applyAlignment="1" applyProtection="1">
      <alignment horizontal="center" vertical="center"/>
      <protection hidden="1"/>
    </xf>
    <xf numFmtId="0" fontId="9" fillId="5" borderId="3" xfId="0" applyFont="1" applyFill="1" applyBorder="1" applyAlignment="1" applyProtection="1">
      <alignment horizontal="center" vertical="center"/>
      <protection hidden="1"/>
    </xf>
    <xf numFmtId="0" fontId="9" fillId="5" borderId="7" xfId="0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Border="1" applyAlignment="1" applyProtection="1">
      <alignment horizontal="center" vertical="center"/>
      <protection hidden="1"/>
    </xf>
    <xf numFmtId="0" fontId="16" fillId="6" borderId="0" xfId="3" applyFont="1" applyFill="1" applyBorder="1" applyAlignment="1" applyProtection="1">
      <alignment horizontal="center" vertical="center" shrinkToFit="1"/>
      <protection hidden="1"/>
    </xf>
    <xf numFmtId="166" fontId="16" fillId="5" borderId="0" xfId="0" applyNumberFormat="1" applyFont="1" applyFill="1" applyBorder="1" applyAlignment="1" applyProtection="1">
      <alignment horizontal="center" vertical="center"/>
      <protection hidden="1"/>
    </xf>
    <xf numFmtId="0" fontId="14" fillId="9" borderId="14" xfId="0" applyFont="1" applyFill="1" applyBorder="1" applyAlignment="1" applyProtection="1">
      <alignment horizontal="center" vertical="center"/>
      <protection hidden="1"/>
    </xf>
    <xf numFmtId="0" fontId="14" fillId="9" borderId="0" xfId="0" applyFont="1" applyFill="1" applyBorder="1" applyAlignment="1" applyProtection="1">
      <alignment horizontal="center" vertical="center"/>
      <protection hidden="1"/>
    </xf>
    <xf numFmtId="0" fontId="48" fillId="9" borderId="0" xfId="5" applyFont="1" applyFill="1" applyBorder="1" applyAlignment="1" applyProtection="1">
      <alignment horizontal="center" vertical="center"/>
      <protection locked="0" hidden="1"/>
    </xf>
    <xf numFmtId="0" fontId="47" fillId="5" borderId="0" xfId="5" applyFont="1" applyFill="1" applyBorder="1" applyAlignment="1" applyProtection="1">
      <alignment horizontal="center" vertical="center"/>
      <protection hidden="1"/>
    </xf>
    <xf numFmtId="9" fontId="16" fillId="5" borderId="0" xfId="0" applyNumberFormat="1" applyFont="1" applyFill="1" applyBorder="1" applyAlignment="1" applyProtection="1">
      <alignment horizontal="center" vertical="center"/>
      <protection hidden="1"/>
    </xf>
    <xf numFmtId="0" fontId="16" fillId="5" borderId="0" xfId="4" applyFont="1" applyFill="1" applyBorder="1" applyAlignment="1" applyProtection="1">
      <alignment horizontal="center" vertical="center"/>
      <protection hidden="1"/>
    </xf>
    <xf numFmtId="0" fontId="16" fillId="5" borderId="0" xfId="2" applyFont="1" applyFill="1" applyBorder="1" applyAlignment="1" applyProtection="1">
      <alignment horizontal="center" vertical="center"/>
      <protection hidden="1"/>
    </xf>
    <xf numFmtId="9" fontId="16" fillId="5" borderId="0" xfId="2" applyNumberFormat="1" applyFont="1" applyFill="1" applyBorder="1" applyAlignment="1" applyProtection="1">
      <alignment horizontal="center" vertical="center"/>
      <protection hidden="1"/>
    </xf>
    <xf numFmtId="168" fontId="16" fillId="8" borderId="0" xfId="0" applyNumberFormat="1" applyFont="1" applyFill="1" applyBorder="1" applyAlignment="1" applyProtection="1">
      <alignment horizontal="center" vertical="center"/>
      <protection hidden="1"/>
    </xf>
    <xf numFmtId="166" fontId="16" fillId="5" borderId="0" xfId="4" applyNumberFormat="1" applyFont="1" applyFill="1" applyBorder="1" applyAlignment="1" applyProtection="1">
      <alignment horizontal="center" vertical="center"/>
      <protection hidden="1"/>
    </xf>
    <xf numFmtId="0" fontId="50" fillId="8" borderId="0" xfId="3" applyFont="1" applyFill="1" applyBorder="1" applyAlignment="1" applyProtection="1">
      <alignment horizontal="center" vertical="center" shrinkToFit="1"/>
      <protection hidden="1"/>
    </xf>
    <xf numFmtId="0" fontId="16" fillId="8" borderId="0" xfId="0" applyFont="1" applyFill="1" applyBorder="1" applyAlignment="1" applyProtection="1">
      <alignment horizontal="center" vertical="center"/>
      <protection hidden="1"/>
    </xf>
    <xf numFmtId="49" fontId="16" fillId="5" borderId="0" xfId="0" applyNumberFormat="1" applyFont="1" applyFill="1" applyBorder="1" applyAlignment="1" applyProtection="1">
      <alignment horizontal="center" vertical="center"/>
      <protection hidden="1"/>
    </xf>
    <xf numFmtId="9" fontId="16" fillId="7" borderId="0" xfId="2" applyNumberFormat="1" applyFont="1" applyFill="1" applyBorder="1" applyAlignment="1" applyProtection="1">
      <alignment horizontal="center" vertical="center"/>
      <protection hidden="1"/>
    </xf>
    <xf numFmtId="49" fontId="57" fillId="33" borderId="59" xfId="0" applyNumberFormat="1" applyFont="1" applyFill="1" applyBorder="1" applyAlignment="1">
      <alignment horizontal="left" vertical="center"/>
    </xf>
    <xf numFmtId="49" fontId="57" fillId="33" borderId="60" xfId="0" applyNumberFormat="1" applyFont="1" applyFill="1" applyBorder="1" applyAlignment="1">
      <alignment horizontal="center" vertical="center"/>
    </xf>
    <xf numFmtId="49" fontId="57" fillId="33" borderId="2" xfId="0" applyNumberFormat="1" applyFont="1" applyFill="1" applyBorder="1" applyAlignment="1">
      <alignment horizontal="center" vertical="center"/>
    </xf>
    <xf numFmtId="49" fontId="51" fillId="33" borderId="57" xfId="0" applyNumberFormat="1" applyFont="1" applyFill="1" applyBorder="1" applyAlignment="1">
      <alignment horizontal="left" vertical="center"/>
    </xf>
    <xf numFmtId="49" fontId="51" fillId="33" borderId="58" xfId="0" applyNumberFormat="1" applyFont="1" applyFill="1" applyBorder="1" applyAlignment="1">
      <alignment horizontal="center" vertical="center"/>
    </xf>
    <xf numFmtId="49" fontId="51" fillId="33" borderId="56" xfId="0" applyNumberFormat="1" applyFont="1" applyFill="1" applyBorder="1" applyAlignment="1">
      <alignment horizontal="center" vertical="center"/>
    </xf>
  </cellXfs>
  <cellStyles count="90"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blue" xfId="38"/>
    <cellStyle name="Calculation" xfId="2"/>
    <cellStyle name="Check Cell" xfId="39"/>
    <cellStyle name="Excel Built-in Calculation" xfId="40"/>
    <cellStyle name="Excel Built-in Normal" xfId="10"/>
    <cellStyle name="Excel Built-in Normal 2" xfId="41"/>
    <cellStyle name="Explanatory Text" xfId="42"/>
    <cellStyle name="FryRU" xfId="3"/>
    <cellStyle name="Good" xfId="43"/>
    <cellStyle name="Heading 1" xfId="44"/>
    <cellStyle name="Heading 2" xfId="45"/>
    <cellStyle name="Heading 3" xfId="46"/>
    <cellStyle name="Heading 4" xfId="47"/>
    <cellStyle name="Hyperlink" xfId="5" builtinId="8"/>
    <cellStyle name="Input" xfId="48"/>
    <cellStyle name="Linked Cell" xfId="49"/>
    <cellStyle name="Neutral" xfId="50"/>
    <cellStyle name="Normal" xfId="0" builtinId="0"/>
    <cellStyle name="Normal 2" xfId="51"/>
    <cellStyle name="Normal 2 2" xfId="52"/>
    <cellStyle name="Normal 2 3" xfId="53"/>
    <cellStyle name="Normal 2 4" xfId="54"/>
    <cellStyle name="Normal 3" xfId="55"/>
    <cellStyle name="Normal 4" xfId="56"/>
    <cellStyle name="Note" xfId="57"/>
    <cellStyle name="Output" xfId="58"/>
    <cellStyle name="Percent" xfId="1" builtinId="5"/>
    <cellStyle name="Title" xfId="59"/>
    <cellStyle name="Total" xfId="60"/>
    <cellStyle name="Warning Text" xfId="61"/>
    <cellStyle name="Гиперссылка 2" xfId="62"/>
    <cellStyle name="Гиперссылка 3" xfId="63"/>
    <cellStyle name="Гиперссылка 4" xfId="64"/>
    <cellStyle name="Обычный 10" xfId="65"/>
    <cellStyle name="Обычный 11" xfId="66"/>
    <cellStyle name="Обычный 12" xfId="67"/>
    <cellStyle name="Обычный 13" xfId="68"/>
    <cellStyle name="Обычный 14" xfId="69"/>
    <cellStyle name="Обычный 15" xfId="70"/>
    <cellStyle name="Обычный 16" xfId="71"/>
    <cellStyle name="Обычный 17" xfId="11"/>
    <cellStyle name="Обычный 17 2" xfId="72"/>
    <cellStyle name="Обычный 18" xfId="73"/>
    <cellStyle name="Обычный 19" xfId="74"/>
    <cellStyle name="Обычный 2" xfId="4"/>
    <cellStyle name="Обычный 2 2" xfId="75"/>
    <cellStyle name="Обычный 3" xfId="76"/>
    <cellStyle name="Обычный 3 2" xfId="77"/>
    <cellStyle name="Обычный 4" xfId="9"/>
    <cellStyle name="Обычный 5" xfId="78"/>
    <cellStyle name="Обычный 6" xfId="7"/>
    <cellStyle name="Обычный 7" xfId="79"/>
    <cellStyle name="Обычный 8" xfId="80"/>
    <cellStyle name="Обычный 8 2" xfId="81"/>
    <cellStyle name="Обычный 9" xfId="82"/>
    <cellStyle name="Обычный_Under_over 2" xfId="12"/>
    <cellStyle name="Примечание 2" xfId="83"/>
    <cellStyle name="Примечание 3" xfId="84"/>
    <cellStyle name="Примечание 3 2" xfId="85"/>
    <cellStyle name="Примечание 4" xfId="86"/>
    <cellStyle name="Процентный 2" xfId="6"/>
    <cellStyle name="Процентный 3" xfId="8"/>
    <cellStyle name="Процентный 4" xfId="87"/>
    <cellStyle name="Процентный 5" xfId="88"/>
    <cellStyle name="Стиль 1" xfId="89"/>
  </cellStyles>
  <dxfs count="14">
    <dxf>
      <fill>
        <patternFill patternType="darkDown"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 patternType="darkDown">
          <bgColor theme="0" tint="-0.1499679555650502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470419508106449"/>
          <c:y val="4.4196407267273537E-2"/>
          <c:w val="0.86509492563431134"/>
          <c:h val="0.81234715931063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'A15'!$A$21</c:f>
              <c:strCache>
                <c:ptCount val="1"/>
                <c:pt idx="0">
                  <c:v>Santa Fe</c:v>
                </c:pt>
              </c:strCache>
            </c:strRef>
          </c:tx>
          <c:invertIfNegative val="0"/>
          <c:val>
            <c:numRef>
              <c:f>'A15'!$J$21</c:f>
              <c:numCache>
                <c:formatCode>0%</c:formatCode>
                <c:ptCount val="1"/>
                <c:pt idx="0">
                  <c:v>0.23333333333333334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95-4B84-A7E5-BD38EE3DC6FA}"/>
            </c:ext>
          </c:extLst>
        </c:ser>
        <c:ser>
          <c:idx val="1"/>
          <c:order val="1"/>
          <c:tx>
            <c:v>Ничья</c:v>
          </c:tx>
          <c:invertIfNegative val="0"/>
          <c:val>
            <c:numRef>
              <c:f>'A15'!$K$21</c:f>
              <c:numCache>
                <c:formatCode>0%</c:formatCode>
                <c:ptCount val="1"/>
                <c:pt idx="0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95-4B84-A7E5-BD38EE3DC6FA}"/>
            </c:ext>
          </c:extLst>
        </c:ser>
        <c:ser>
          <c:idx val="2"/>
          <c:order val="2"/>
          <c:tx>
            <c:strRef>
              <c:f>'A15'!$C$21</c:f>
              <c:strCache>
                <c:ptCount val="1"/>
                <c:pt idx="0">
                  <c:v>America De Cali</c:v>
                </c:pt>
              </c:strCache>
            </c:strRef>
          </c:tx>
          <c:invertIfNegative val="0"/>
          <c:val>
            <c:numRef>
              <c:f>'A15'!$L$21</c:f>
              <c:numCache>
                <c:formatCode>0%</c:formatCode>
                <c:ptCount val="1"/>
                <c:pt idx="0">
                  <c:v>0.3666666666666667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F95-4B84-A7E5-BD38EE3DC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8069248"/>
        <c:axId val="108070784"/>
        <c:axId val="0"/>
      </c:bar3DChart>
      <c:catAx>
        <c:axId val="10806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8070784"/>
        <c:crosses val="autoZero"/>
        <c:auto val="1"/>
        <c:lblAlgn val="ctr"/>
        <c:lblOffset val="100"/>
        <c:noMultiLvlLbl val="0"/>
      </c:catAx>
      <c:valAx>
        <c:axId val="1080707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80692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141" l="0.70000000000000062" r="0.70000000000000062" t="0.750000000000014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9198204902774955E-2"/>
          <c:y val="3.305461787262895E-2"/>
          <c:w val="0.91028693967026031"/>
          <c:h val="0.94428062787416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А25!$J$7</c:f>
              <c:strCache>
                <c:ptCount val="1"/>
                <c:pt idx="0">
                  <c:v>Santa Fe</c:v>
                </c:pt>
              </c:strCache>
            </c:strRef>
          </c:tx>
          <c:invertIfNegative val="0"/>
          <c:val>
            <c:numRef>
              <c:f>А25!$S$7</c:f>
              <c:numCache>
                <c:formatCode>0%</c:formatCode>
                <c:ptCount val="1"/>
                <c:pt idx="0">
                  <c:v>0.23333333333333334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77-4690-BF5A-E5F935E66DB8}"/>
            </c:ext>
          </c:extLst>
        </c:ser>
        <c:ser>
          <c:idx val="1"/>
          <c:order val="1"/>
          <c:tx>
            <c:strRef>
              <c:f>А25!$B$10</c:f>
              <c:strCache>
                <c:ptCount val="1"/>
                <c:pt idx="0">
                  <c:v>Х</c:v>
                </c:pt>
              </c:strCache>
            </c:strRef>
          </c:tx>
          <c:invertIfNegative val="0"/>
          <c:val>
            <c:numRef>
              <c:f>А25!$T$7</c:f>
              <c:numCache>
                <c:formatCode>0%</c:formatCode>
                <c:ptCount val="1"/>
                <c:pt idx="0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77-4690-BF5A-E5F935E66DB8}"/>
            </c:ext>
          </c:extLst>
        </c:ser>
        <c:ser>
          <c:idx val="2"/>
          <c:order val="2"/>
          <c:tx>
            <c:strRef>
              <c:f>А25!$L$7</c:f>
              <c:strCache>
                <c:ptCount val="1"/>
                <c:pt idx="0">
                  <c:v>America De Cali</c:v>
                </c:pt>
              </c:strCache>
            </c:strRef>
          </c:tx>
          <c:invertIfNegative val="0"/>
          <c:val>
            <c:numRef>
              <c:f>А25!$U$7</c:f>
              <c:numCache>
                <c:formatCode>0%</c:formatCode>
                <c:ptCount val="1"/>
                <c:pt idx="0">
                  <c:v>0.3666666666666667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77-4690-BF5A-E5F935E66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7811968"/>
        <c:axId val="107813504"/>
        <c:axId val="0"/>
      </c:bar3DChart>
      <c:catAx>
        <c:axId val="10781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7813504"/>
        <c:crosses val="autoZero"/>
        <c:auto val="1"/>
        <c:lblAlgn val="ctr"/>
        <c:lblOffset val="100"/>
        <c:noMultiLvlLbl val="0"/>
      </c:catAx>
      <c:valAx>
        <c:axId val="1078135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7811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247652</xdr:colOff>
      <xdr:row>23</xdr:row>
      <xdr:rowOff>28576</xdr:rowOff>
    </xdr:from>
    <xdr:to>
      <xdr:col>14</xdr:col>
      <xdr:colOff>50081</xdr:colOff>
      <xdr:row>37</xdr:row>
      <xdr:rowOff>199576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9525</xdr:rowOff>
    </xdr:from>
    <xdr:to>
      <xdr:col>7</xdr:col>
      <xdr:colOff>2105025</xdr:colOff>
      <xdr:row>19</xdr:row>
      <xdr:rowOff>190500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9525"/>
          <a:ext cx="2714625" cy="3981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0</xdr:row>
      <xdr:rowOff>1</xdr:rowOff>
    </xdr:from>
    <xdr:to>
      <xdr:col>19</xdr:col>
      <xdr:colOff>419100</xdr:colOff>
      <xdr:row>11</xdr:row>
      <xdr:rowOff>38101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1"/>
          <a:ext cx="4048125" cy="28003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0</xdr:row>
      <xdr:rowOff>28576</xdr:rowOff>
    </xdr:from>
    <xdr:to>
      <xdr:col>5</xdr:col>
      <xdr:colOff>9525</xdr:colOff>
      <xdr:row>11</xdr:row>
      <xdr:rowOff>9526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6"/>
          <a:ext cx="3047999" cy="2743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451755</xdr:colOff>
      <xdr:row>4</xdr:row>
      <xdr:rowOff>6426</xdr:rowOff>
    </xdr:from>
    <xdr:to>
      <xdr:col>49</xdr:col>
      <xdr:colOff>51255</xdr:colOff>
      <xdr:row>15</xdr:row>
      <xdr:rowOff>162276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t_emr/Downloads/GolPlyusTotal_Pr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t_emr/Downloads/SPORT/Tot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анда 1"/>
      <sheetName val="Команда 2 "/>
      <sheetName val="Старт"/>
      <sheetName val="Команда1"/>
      <sheetName val="Команда2"/>
      <sheetName val="очные"/>
      <sheetName val="Сила атаки и сила обороны"/>
      <sheetName val="Тест1"/>
      <sheetName val="Тест2"/>
      <sheetName val="Верняк"/>
      <sheetName val="G44"/>
      <sheetName val="диагноз3"/>
      <sheetName val="диагноз3 (2)"/>
      <sheetName val="диагноз3 (3)"/>
      <sheetName val="Анализ (2)"/>
      <sheetName val="method1"/>
      <sheetName val="Анализ"/>
      <sheetName val="1"/>
    </sheetNames>
    <sheetDataSet>
      <sheetData sheetId="0" refreshError="1"/>
      <sheetData sheetId="1" refreshError="1"/>
      <sheetData sheetId="2">
        <row r="1">
          <cell r="Q1" t="str">
            <v>BetCity</v>
          </cell>
          <cell r="T1" t="str">
            <v>Ольборг</v>
          </cell>
          <cell r="U1" t="str">
            <v>Оденсе</v>
          </cell>
        </row>
        <row r="2">
          <cell r="Q2" t="str">
            <v>MyScore</v>
          </cell>
          <cell r="T2" t="str">
            <v>Эсбьерг</v>
          </cell>
          <cell r="U2" t="str">
            <v>Норшелланн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ные"/>
      <sheetName val="Команда1"/>
      <sheetName val="Команда2"/>
      <sheetName val="Расчёт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30"/>
      <sheetName val="31"/>
      <sheetName val="33"/>
      <sheetName val="Итоги"/>
      <sheetName val="Список стра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A2" t="str">
            <v xml:space="preserve">Австралия </v>
          </cell>
        </row>
        <row r="3">
          <cell r="A3" t="str">
            <v>Австрия</v>
          </cell>
        </row>
        <row r="4">
          <cell r="A4" t="str">
            <v>Бразилия</v>
          </cell>
        </row>
        <row r="5">
          <cell r="A5" t="str">
            <v>ВТБ</v>
          </cell>
        </row>
        <row r="6">
          <cell r="A6" t="str">
            <v xml:space="preserve">Германия </v>
          </cell>
        </row>
        <row r="7">
          <cell r="A7" t="str">
            <v>Греция</v>
          </cell>
        </row>
        <row r="8">
          <cell r="A8" t="str">
            <v>Дания</v>
          </cell>
        </row>
        <row r="9">
          <cell r="A9" t="str">
            <v>Евролига</v>
          </cell>
        </row>
        <row r="10">
          <cell r="A10" t="str">
            <v>Индонезия</v>
          </cell>
        </row>
        <row r="11">
          <cell r="A11" t="str">
            <v>Индонезия</v>
          </cell>
        </row>
        <row r="12">
          <cell r="A12" t="str">
            <v>Испания</v>
          </cell>
        </row>
        <row r="13">
          <cell r="A13" t="str">
            <v>Италия</v>
          </cell>
        </row>
        <row r="14">
          <cell r="A14" t="str">
            <v>Канада</v>
          </cell>
        </row>
        <row r="15">
          <cell r="A15" t="str">
            <v>Литва</v>
          </cell>
        </row>
        <row r="16">
          <cell r="A16" t="str">
            <v>НБА</v>
          </cell>
        </row>
        <row r="17">
          <cell r="A17" t="str">
            <v>НБА D-лига</v>
          </cell>
        </row>
        <row r="18">
          <cell r="A18" t="str">
            <v>Нидерланды</v>
          </cell>
        </row>
        <row r="19">
          <cell r="A19" t="str">
            <v>Норвегия</v>
          </cell>
        </row>
        <row r="20">
          <cell r="A20" t="str">
            <v>Россия</v>
          </cell>
        </row>
        <row r="21">
          <cell r="A21" t="str">
            <v>Румыния</v>
          </cell>
        </row>
        <row r="22">
          <cell r="A22" t="str">
            <v>Словения</v>
          </cell>
        </row>
        <row r="23">
          <cell r="A23" t="str">
            <v>Турция</v>
          </cell>
        </row>
        <row r="24">
          <cell r="A24" t="str">
            <v>Украина</v>
          </cell>
        </row>
        <row r="25">
          <cell r="A25" t="str">
            <v>Филиппины</v>
          </cell>
        </row>
        <row r="26">
          <cell r="A26" t="str">
            <v>Финляндия</v>
          </cell>
        </row>
        <row r="27">
          <cell r="A27" t="str">
            <v>Франция</v>
          </cell>
        </row>
        <row r="28">
          <cell r="A28" t="str">
            <v>Чехия</v>
          </cell>
        </row>
        <row r="29">
          <cell r="A29" t="str">
            <v>Чили</v>
          </cell>
        </row>
        <row r="30">
          <cell r="A30" t="str">
            <v>Швеция</v>
          </cell>
        </row>
        <row r="31">
          <cell r="A31" t="str">
            <v>Юж. Корея</v>
          </cell>
        </row>
        <row r="32">
          <cell r="A32" t="str">
            <v>Япония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vk.com/alta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5">
    <tabColor theme="0"/>
  </sheetPr>
  <dimension ref="A1:CL39"/>
  <sheetViews>
    <sheetView topLeftCell="A2" zoomScale="70" zoomScaleNormal="70" workbookViewId="0">
      <selection activeCell="E27" sqref="E27"/>
    </sheetView>
  </sheetViews>
  <sheetFormatPr defaultRowHeight="20.100000000000001" customHeight="1"/>
  <cols>
    <col min="1" max="7" width="10.7109375" style="2" customWidth="1"/>
    <col min="8" max="9" width="13.7109375" style="2" customWidth="1"/>
    <col min="10" max="64" width="10.7109375" style="2" customWidth="1"/>
    <col min="65" max="68" width="10.7109375" style="3" customWidth="1"/>
    <col min="69" max="90" width="9.140625" style="1"/>
  </cols>
  <sheetData>
    <row r="1" spans="1:68" s="52" customFormat="1" ht="20.100000000000001" customHeight="1">
      <c r="A1" s="21"/>
      <c r="B1" s="138" t="s">
        <v>8</v>
      </c>
      <c r="C1" s="138"/>
      <c r="D1" s="138"/>
      <c r="E1" s="138"/>
      <c r="F1" s="138"/>
      <c r="G1" s="138"/>
      <c r="H1" s="138"/>
      <c r="I1" s="147" t="s">
        <v>9</v>
      </c>
      <c r="J1" s="147"/>
      <c r="K1" s="147"/>
      <c r="L1" s="147"/>
      <c r="M1" s="147"/>
      <c r="N1" s="147"/>
      <c r="O1" s="147"/>
      <c r="P1" s="147" t="s">
        <v>29</v>
      </c>
      <c r="Q1" s="147"/>
      <c r="R1" s="147"/>
      <c r="S1" s="147"/>
      <c r="T1" s="147"/>
      <c r="U1" s="147"/>
      <c r="V1" s="147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57"/>
      <c r="BN1" s="57"/>
      <c r="BO1" s="57"/>
      <c r="BP1" s="57"/>
    </row>
    <row r="2" spans="1:68" s="52" customFormat="1" ht="20.100000000000001" customHeight="1">
      <c r="A2" s="21"/>
      <c r="B2" s="21" t="s">
        <v>20</v>
      </c>
      <c r="C2" s="21" t="s">
        <v>21</v>
      </c>
      <c r="D2" s="21" t="s">
        <v>22</v>
      </c>
      <c r="E2" s="21" t="s">
        <v>23</v>
      </c>
      <c r="F2" s="28" t="s">
        <v>18</v>
      </c>
      <c r="G2" s="58" t="s">
        <v>19</v>
      </c>
      <c r="H2" s="21" t="s">
        <v>24</v>
      </c>
      <c r="I2" s="21" t="s">
        <v>20</v>
      </c>
      <c r="J2" s="21" t="s">
        <v>21</v>
      </c>
      <c r="K2" s="21" t="s">
        <v>22</v>
      </c>
      <c r="L2" s="21" t="s">
        <v>23</v>
      </c>
      <c r="M2" s="28" t="s">
        <v>18</v>
      </c>
      <c r="N2" s="58" t="s">
        <v>19</v>
      </c>
      <c r="O2" s="21" t="s">
        <v>24</v>
      </c>
      <c r="P2" s="21" t="s">
        <v>20</v>
      </c>
      <c r="Q2" s="21" t="s">
        <v>21</v>
      </c>
      <c r="R2" s="21" t="s">
        <v>22</v>
      </c>
      <c r="S2" s="21" t="s">
        <v>23</v>
      </c>
      <c r="T2" s="28" t="s">
        <v>18</v>
      </c>
      <c r="U2" s="58" t="s">
        <v>19</v>
      </c>
      <c r="V2" s="21" t="s">
        <v>24</v>
      </c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57"/>
      <c r="BN2" s="57"/>
      <c r="BO2" s="57"/>
      <c r="BP2" s="57"/>
    </row>
    <row r="3" spans="1:68" s="52" customFormat="1" ht="20.100000000000001" customHeight="1">
      <c r="A3" s="21" t="s">
        <v>30</v>
      </c>
      <c r="B3" s="4">
        <f>'Team 1'!V13</f>
        <v>10</v>
      </c>
      <c r="C3" s="4">
        <f>'Team 1'!W13</f>
        <v>3</v>
      </c>
      <c r="D3" s="4">
        <f>'Team 1'!X13</f>
        <v>2</v>
      </c>
      <c r="E3" s="4">
        <f>'Team 1'!Y13</f>
        <v>5</v>
      </c>
      <c r="F3" s="4">
        <f>'Team 1'!Z13</f>
        <v>6</v>
      </c>
      <c r="G3" s="4">
        <f>'Team 1'!AA13</f>
        <v>7</v>
      </c>
      <c r="H3" s="4">
        <f>'Team 1'!AB13</f>
        <v>11</v>
      </c>
      <c r="I3" s="4">
        <f>'Team 1'!AC13</f>
        <v>6</v>
      </c>
      <c r="J3" s="4">
        <f>'Team 1'!AD13</f>
        <v>1</v>
      </c>
      <c r="K3" s="4">
        <f>'Team 1'!AE13</f>
        <v>2</v>
      </c>
      <c r="L3" s="4">
        <f>'Team 1'!AF13</f>
        <v>3</v>
      </c>
      <c r="M3" s="4">
        <f>'Team 1'!AG13</f>
        <v>2</v>
      </c>
      <c r="N3" s="4">
        <f>'Team 1'!AH13</f>
        <v>4</v>
      </c>
      <c r="O3" s="4">
        <f>'Team 1'!AI13</f>
        <v>5</v>
      </c>
      <c r="P3" s="4">
        <f>'Team 1'!AJ13</f>
        <v>4</v>
      </c>
      <c r="Q3" s="4">
        <f>'Team 1'!AK13</f>
        <v>2</v>
      </c>
      <c r="R3" s="4">
        <f>'Team 1'!AL13</f>
        <v>0</v>
      </c>
      <c r="S3" s="4">
        <f>'Team 1'!AM13</f>
        <v>2</v>
      </c>
      <c r="T3" s="4">
        <f>'Team 1'!AN13</f>
        <v>4</v>
      </c>
      <c r="U3" s="4">
        <f>'Team 1'!AO13</f>
        <v>3</v>
      </c>
      <c r="V3" s="4">
        <f>'Team 1'!AP13</f>
        <v>6</v>
      </c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57"/>
      <c r="BN3" s="57"/>
      <c r="BO3" s="57"/>
      <c r="BP3" s="57"/>
    </row>
    <row r="4" spans="1:68" s="52" customFormat="1" ht="20.100000000000001" customHeight="1">
      <c r="A4" s="21" t="s">
        <v>31</v>
      </c>
      <c r="B4" s="4">
        <f>'Team 2'!V13</f>
        <v>10</v>
      </c>
      <c r="C4" s="4">
        <f>'Team 2'!W13</f>
        <v>4</v>
      </c>
      <c r="D4" s="4">
        <f>'Team 2'!X13</f>
        <v>1</v>
      </c>
      <c r="E4" s="4">
        <f>'Team 2'!Y13</f>
        <v>5</v>
      </c>
      <c r="F4" s="4">
        <f>'Team 2'!Z13</f>
        <v>7</v>
      </c>
      <c r="G4" s="4">
        <f>'Team 2'!AA13</f>
        <v>11</v>
      </c>
      <c r="H4" s="4">
        <f>'Team 2'!AB13</f>
        <v>13</v>
      </c>
      <c r="I4" s="4">
        <f>'Team 2'!AC13</f>
        <v>4</v>
      </c>
      <c r="J4" s="4">
        <f>'Team 2'!AD13</f>
        <v>2</v>
      </c>
      <c r="K4" s="4">
        <f>'Team 2'!AE13</f>
        <v>0</v>
      </c>
      <c r="L4" s="4">
        <f>'Team 2'!AF13</f>
        <v>2</v>
      </c>
      <c r="M4" s="4">
        <f>'Team 2'!AG13</f>
        <v>4</v>
      </c>
      <c r="N4" s="4">
        <f>'Team 2'!AH13</f>
        <v>5</v>
      </c>
      <c r="O4" s="4">
        <f>'Team 2'!AI13</f>
        <v>6</v>
      </c>
      <c r="P4" s="4">
        <f>'Team 2'!AJ13</f>
        <v>6</v>
      </c>
      <c r="Q4" s="4">
        <f>'Team 2'!AK13</f>
        <v>2</v>
      </c>
      <c r="R4" s="4">
        <f>'Team 2'!AL13</f>
        <v>1</v>
      </c>
      <c r="S4" s="4">
        <f>'Team 2'!AM13</f>
        <v>3</v>
      </c>
      <c r="T4" s="4">
        <f>'Team 2'!AN13</f>
        <v>3</v>
      </c>
      <c r="U4" s="4">
        <f>'Team 2'!AO13</f>
        <v>6</v>
      </c>
      <c r="V4" s="4">
        <f>'Team 2'!AP13</f>
        <v>7</v>
      </c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57"/>
      <c r="BN4" s="57"/>
      <c r="BO4" s="57"/>
      <c r="BP4" s="57"/>
    </row>
    <row r="5" spans="1:68" s="52" customFormat="1" ht="20.100000000000001" customHeight="1">
      <c r="A5" s="21"/>
      <c r="B5" s="138" t="s">
        <v>26</v>
      </c>
      <c r="C5" s="138"/>
      <c r="D5" s="138"/>
      <c r="E5" s="138" t="s">
        <v>27</v>
      </c>
      <c r="F5" s="138"/>
      <c r="G5" s="138"/>
      <c r="H5" s="138"/>
      <c r="I5" s="138" t="s">
        <v>26</v>
      </c>
      <c r="J5" s="138"/>
      <c r="K5" s="138"/>
      <c r="L5" s="138" t="s">
        <v>27</v>
      </c>
      <c r="M5" s="138"/>
      <c r="N5" s="138"/>
      <c r="O5" s="138" t="s">
        <v>26</v>
      </c>
      <c r="P5" s="138"/>
      <c r="Q5" s="138"/>
      <c r="R5" s="138" t="s">
        <v>27</v>
      </c>
      <c r="S5" s="138"/>
      <c r="T5" s="138"/>
      <c r="U5" s="21">
        <v>1</v>
      </c>
      <c r="V5" s="8">
        <f>J3/I3/(J3/I3+K3/I3+Q4/P4+R4/P4)</f>
        <v>0.16666666666666669</v>
      </c>
      <c r="W5" s="8">
        <f>C3/B3/(C3/B3+D3/B3+D4/B4+C4/B4)</f>
        <v>0.3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57"/>
      <c r="BN5" s="57"/>
      <c r="BO5" s="57"/>
      <c r="BP5" s="57"/>
    </row>
    <row r="6" spans="1:68" s="52" customFormat="1" ht="20.100000000000001" customHeight="1">
      <c r="A6" s="21" t="s">
        <v>30</v>
      </c>
      <c r="B6" s="145">
        <f>F3/B3</f>
        <v>0.6</v>
      </c>
      <c r="C6" s="145"/>
      <c r="D6" s="145"/>
      <c r="E6" s="145">
        <f>G3/B3</f>
        <v>0.7</v>
      </c>
      <c r="F6" s="138"/>
      <c r="G6" s="138"/>
      <c r="H6" s="138"/>
      <c r="I6" s="145">
        <f>M3/I3</f>
        <v>0.33333333333333331</v>
      </c>
      <c r="J6" s="145"/>
      <c r="K6" s="145"/>
      <c r="L6" s="145">
        <f>N3/I3</f>
        <v>0.66666666666666663</v>
      </c>
      <c r="M6" s="145"/>
      <c r="N6" s="145"/>
      <c r="O6" s="145">
        <f>T3/P3</f>
        <v>1</v>
      </c>
      <c r="P6" s="145"/>
      <c r="Q6" s="145"/>
      <c r="R6" s="145">
        <f>U3/P3</f>
        <v>0.75</v>
      </c>
      <c r="S6" s="145"/>
      <c r="T6" s="145"/>
      <c r="U6" s="28" t="s">
        <v>32</v>
      </c>
      <c r="V6" s="8">
        <f>(K3/I3+R4/P4)/(J3/I3+K3/I3+Q4/P4+R4/P4)</f>
        <v>0.5</v>
      </c>
      <c r="W6" s="8">
        <f>(D3/B3+D4/B4)/(C3/B3+D3/B3+D4/B4+C4/B4)</f>
        <v>0.30000000000000004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57"/>
      <c r="BN6" s="57"/>
      <c r="BO6" s="57"/>
      <c r="BP6" s="57"/>
    </row>
    <row r="7" spans="1:68" s="52" customFormat="1" ht="20.100000000000001" customHeight="1">
      <c r="A7" s="21" t="s">
        <v>31</v>
      </c>
      <c r="B7" s="145">
        <f>F4/B4</f>
        <v>0.7</v>
      </c>
      <c r="C7" s="145"/>
      <c r="D7" s="145"/>
      <c r="E7" s="145">
        <f>G4/B4</f>
        <v>1.1000000000000001</v>
      </c>
      <c r="F7" s="145"/>
      <c r="G7" s="145"/>
      <c r="H7" s="145"/>
      <c r="I7" s="145">
        <f>M4/I4</f>
        <v>1</v>
      </c>
      <c r="J7" s="145"/>
      <c r="K7" s="145"/>
      <c r="L7" s="145">
        <f>N4/I4</f>
        <v>1.25</v>
      </c>
      <c r="M7" s="145"/>
      <c r="N7" s="145"/>
      <c r="O7" s="145">
        <f>T4/P4</f>
        <v>0.5</v>
      </c>
      <c r="P7" s="145"/>
      <c r="Q7" s="145"/>
      <c r="R7" s="145">
        <f>U4/P4</f>
        <v>1</v>
      </c>
      <c r="S7" s="145"/>
      <c r="T7" s="145"/>
      <c r="U7" s="21">
        <v>2</v>
      </c>
      <c r="V7" s="8">
        <f>Q4/P4/(J3/I3+K3/I3+Q4/P4+R4/P4)</f>
        <v>0.33333333333333337</v>
      </c>
      <c r="W7" s="8">
        <f>C4/B4/(C3/B3+D3/B3+D4/B4+C4/B4)</f>
        <v>0.4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57"/>
      <c r="BN7" s="57"/>
      <c r="BO7" s="57"/>
      <c r="BP7" s="57"/>
    </row>
    <row r="8" spans="1:68" s="52" customFormat="1" ht="20.100000000000001" customHeight="1">
      <c r="A8" s="21" t="s">
        <v>33</v>
      </c>
      <c r="B8" s="138" t="s">
        <v>34</v>
      </c>
      <c r="C8" s="138"/>
      <c r="D8" s="138" t="s">
        <v>35</v>
      </c>
      <c r="E8" s="138"/>
      <c r="F8" s="138" t="s">
        <v>28</v>
      </c>
      <c r="G8" s="138"/>
      <c r="H8" s="21" t="s">
        <v>36</v>
      </c>
      <c r="I8" s="21" t="s">
        <v>37</v>
      </c>
      <c r="J8" s="21" t="s">
        <v>2</v>
      </c>
      <c r="K8" s="21" t="s">
        <v>38</v>
      </c>
      <c r="L8" s="21" t="s">
        <v>39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57"/>
      <c r="BN8" s="57"/>
      <c r="BO8" s="57"/>
      <c r="BP8" s="57"/>
    </row>
    <row r="9" spans="1:68" s="52" customFormat="1" ht="20.100000000000001" customHeight="1">
      <c r="A9" s="21" t="s">
        <v>30</v>
      </c>
      <c r="B9" s="145">
        <f>AVERAGE(I6,B6)+AVERAGE(R7,E7)-AVERAGE(1.25,O9)</f>
        <v>0.50416666666666665</v>
      </c>
      <c r="C9" s="145"/>
      <c r="D9" s="146">
        <f>(I6-L6+B6-E6)/2</f>
        <v>-0.21666666666666665</v>
      </c>
      <c r="E9" s="146"/>
      <c r="F9" s="141">
        <f>(O3/I3+V3/P3*1.1+I6-L6*1.1+O6*1.1-R6)/12.6</f>
        <v>0.19312169312169314</v>
      </c>
      <c r="G9" s="141"/>
      <c r="H9" s="4">
        <f>B9</f>
        <v>0.50416666666666665</v>
      </c>
      <c r="I9" s="21">
        <f>'Team 1'!AG8*1.5+'Team 1'!AN8*2</f>
        <v>9</v>
      </c>
      <c r="J9" s="25">
        <f>'Team 1'!AH8*1.5+'Team 1'!AO8</f>
        <v>4</v>
      </c>
      <c r="K9" s="21">
        <f>I9/5</f>
        <v>1.8</v>
      </c>
      <c r="L9" s="10">
        <f>J9/5</f>
        <v>0.8</v>
      </c>
      <c r="M9" s="138" t="s">
        <v>40</v>
      </c>
      <c r="N9" s="138"/>
      <c r="O9" s="25">
        <f>AVERAGE('Team 1'!T4:U13,'Team 2'!T4:U13)</f>
        <v>0.77500000000000002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57"/>
      <c r="BN9" s="57"/>
      <c r="BO9" s="57"/>
      <c r="BP9" s="57"/>
    </row>
    <row r="10" spans="1:68" s="52" customFormat="1" ht="20.100000000000001" customHeight="1">
      <c r="A10" s="21" t="s">
        <v>31</v>
      </c>
      <c r="B10" s="145">
        <f>AVERAGE(O7,B7)+AVERAGE(L6,E6)-AVERAGE(1.25,O9)</f>
        <v>0.27083333333333326</v>
      </c>
      <c r="C10" s="145"/>
      <c r="D10" s="146">
        <f>(O7-R7+B7-E7)/2</f>
        <v>-0.45000000000000007</v>
      </c>
      <c r="E10" s="146"/>
      <c r="F10" s="141">
        <f>(O4/I4+V4/P4*1.1+I7-L7*1.1+O7*1.1-R7)/12.6</f>
        <v>0.15542328042328041</v>
      </c>
      <c r="G10" s="141"/>
      <c r="H10" s="4">
        <f>B10</f>
        <v>0.27083333333333326</v>
      </c>
      <c r="I10" s="21">
        <f>'Team 2'!AG8*1.5+'Team 2'!AN8*2</f>
        <v>5</v>
      </c>
      <c r="J10" s="10">
        <f>'Team 2'!AH8*1.5+'Team 2'!AO8</f>
        <v>12</v>
      </c>
      <c r="K10" s="21">
        <f>I10/5</f>
        <v>1</v>
      </c>
      <c r="L10" s="10">
        <f>J10/5</f>
        <v>2.4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57"/>
      <c r="BN10" s="57"/>
      <c r="BO10" s="57"/>
      <c r="BP10" s="57"/>
    </row>
    <row r="11" spans="1:68" s="52" customFormat="1" ht="20.100000000000001" customHeight="1">
      <c r="A11" s="21" t="s">
        <v>41</v>
      </c>
      <c r="B11" s="145">
        <f>B9+B10</f>
        <v>0.77499999999999991</v>
      </c>
      <c r="C11" s="145"/>
      <c r="D11" s="138"/>
      <c r="E11" s="138"/>
      <c r="F11" s="138"/>
      <c r="G11" s="138"/>
      <c r="H11" s="138"/>
      <c r="I11" s="138">
        <f>((K9+L10)/2+(K10+L9)/2)/2</f>
        <v>1.5</v>
      </c>
      <c r="J11" s="138"/>
      <c r="K11" s="138"/>
      <c r="L11" s="138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57"/>
      <c r="BN11" s="57"/>
      <c r="BO11" s="57"/>
      <c r="BP11" s="57"/>
    </row>
    <row r="12" spans="1:68" s="52" customFormat="1" ht="20.100000000000001" customHeight="1">
      <c r="A12" s="27" t="s">
        <v>42</v>
      </c>
      <c r="B12" s="27" t="s">
        <v>43</v>
      </c>
      <c r="C12" s="27" t="s">
        <v>44</v>
      </c>
      <c r="D12" s="140" t="s">
        <v>35</v>
      </c>
      <c r="E12" s="141"/>
      <c r="F12" s="141" t="s">
        <v>45</v>
      </c>
      <c r="G12" s="141"/>
      <c r="H12" s="141"/>
      <c r="I12" s="141" t="s">
        <v>28</v>
      </c>
      <c r="J12" s="141"/>
      <c r="K12" s="21"/>
      <c r="L12" s="21"/>
      <c r="M12" s="21"/>
      <c r="N12" s="21"/>
      <c r="O12" s="21"/>
      <c r="P12" s="21"/>
      <c r="Q12" s="21" t="str">
        <f>CONCATENATE(Q16," - ",R16)</f>
        <v>0 - 0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57"/>
      <c r="BN12" s="57"/>
      <c r="BO12" s="57"/>
      <c r="BP12" s="57"/>
    </row>
    <row r="13" spans="1:68" s="52" customFormat="1" ht="20.100000000000001" customHeight="1">
      <c r="A13" s="25">
        <f>B11</f>
        <v>0.77499999999999991</v>
      </c>
      <c r="B13" s="5">
        <f>B9-0.3</f>
        <v>0.20416666666666666</v>
      </c>
      <c r="C13" s="5">
        <f>B10-0.3</f>
        <v>-2.916666666666673E-2</v>
      </c>
      <c r="D13" s="26">
        <f>D9</f>
        <v>-0.21666666666666665</v>
      </c>
      <c r="E13" s="26">
        <f>D10</f>
        <v>-0.45000000000000007</v>
      </c>
      <c r="F13" s="27">
        <f>AVERAGE(V5,W5)</f>
        <v>0.23333333333333334</v>
      </c>
      <c r="G13" s="27">
        <f>AVERAGE(V6,W6)</f>
        <v>0.4</v>
      </c>
      <c r="H13" s="27">
        <f>AVERAGE(V7,W7)</f>
        <v>0.3666666666666667</v>
      </c>
      <c r="I13" s="27">
        <f>F9</f>
        <v>0.19312169312169314</v>
      </c>
      <c r="J13" s="27">
        <f>F10</f>
        <v>0.15542328042328041</v>
      </c>
      <c r="K13" s="21"/>
      <c r="L13" s="21"/>
      <c r="M13" s="21"/>
      <c r="N13" s="21"/>
      <c r="O13" s="21"/>
      <c r="P13" s="135" t="s">
        <v>141</v>
      </c>
      <c r="Q13" s="135"/>
      <c r="R13" s="135"/>
      <c r="S13" s="135"/>
      <c r="T13" s="135" t="s">
        <v>142</v>
      </c>
      <c r="U13" s="135"/>
      <c r="V13" s="135"/>
      <c r="W13" s="135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57"/>
      <c r="BN13" s="57"/>
      <c r="BO13" s="57"/>
      <c r="BP13" s="57"/>
    </row>
    <row r="14" spans="1:68" s="52" customFormat="1" ht="20.100000000000001" customHeight="1">
      <c r="A14" s="136"/>
      <c r="B14" s="136"/>
      <c r="C14" s="13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35"/>
      <c r="Q14" s="135"/>
      <c r="R14" s="135"/>
      <c r="S14" s="135"/>
      <c r="T14" s="135"/>
      <c r="U14" s="135"/>
      <c r="V14" s="135"/>
      <c r="W14" s="135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57"/>
      <c r="BN14" s="57"/>
      <c r="BO14" s="57"/>
      <c r="BP14" s="57"/>
    </row>
    <row r="15" spans="1:68" s="52" customFormat="1" ht="20.100000000000001" customHeight="1">
      <c r="A15" s="87" t="s">
        <v>46</v>
      </c>
      <c r="B15" s="86" t="s">
        <v>42</v>
      </c>
      <c r="C15" s="86" t="s">
        <v>43</v>
      </c>
      <c r="D15" s="27" t="s">
        <v>44</v>
      </c>
      <c r="E15" s="140" t="s">
        <v>47</v>
      </c>
      <c r="F15" s="141"/>
      <c r="G15" s="141" t="s">
        <v>45</v>
      </c>
      <c r="H15" s="141"/>
      <c r="I15" s="141"/>
      <c r="J15" s="27" t="s">
        <v>28</v>
      </c>
      <c r="K15" s="27"/>
      <c r="L15" s="28" t="s">
        <v>48</v>
      </c>
      <c r="M15" s="22" t="s">
        <v>49</v>
      </c>
      <c r="N15" s="21" t="s">
        <v>50</v>
      </c>
      <c r="O15" s="21" t="s">
        <v>51</v>
      </c>
      <c r="P15" s="85"/>
      <c r="Q15" s="136" t="s">
        <v>36</v>
      </c>
      <c r="R15" s="136"/>
      <c r="S15" s="85"/>
      <c r="T15" s="85"/>
      <c r="U15" s="136" t="s">
        <v>130</v>
      </c>
      <c r="V15" s="136"/>
      <c r="W15" s="85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57"/>
      <c r="BN15" s="57"/>
      <c r="BO15" s="57"/>
      <c r="BP15" s="57"/>
    </row>
    <row r="16" spans="1:68" s="52" customFormat="1" ht="20.100000000000001" customHeight="1">
      <c r="A16" s="87" t="s">
        <v>52</v>
      </c>
      <c r="B16" s="89">
        <f>A13</f>
        <v>0.77499999999999991</v>
      </c>
      <c r="C16" s="12">
        <f t="shared" ref="C16:K16" si="0">B13</f>
        <v>0.20416666666666666</v>
      </c>
      <c r="D16" s="12">
        <f t="shared" si="0"/>
        <v>-2.916666666666673E-2</v>
      </c>
      <c r="E16" s="12"/>
      <c r="F16" s="12"/>
      <c r="G16" s="27">
        <f>F13</f>
        <v>0.23333333333333334</v>
      </c>
      <c r="H16" s="27">
        <f t="shared" si="0"/>
        <v>0.4</v>
      </c>
      <c r="I16" s="27">
        <f>H13</f>
        <v>0.3666666666666667</v>
      </c>
      <c r="J16" s="27">
        <f>I13</f>
        <v>0.19312169312169314</v>
      </c>
      <c r="K16" s="27">
        <f t="shared" si="0"/>
        <v>0.15542328042328041</v>
      </c>
      <c r="L16" s="12">
        <f>C16-D16</f>
        <v>0.23333333333333339</v>
      </c>
      <c r="M16" s="22" t="str">
        <f>IF(G16-I16&gt;0.23,"П1",IF(G16&gt;I16,"1X",IF(I16-G16&gt;0.24,"П2",IF(I16&gt;G16,"Х2",""))))</f>
        <v>Х2</v>
      </c>
      <c r="N16" s="25">
        <f>AVERAGE(I6,B6)</f>
        <v>0.46666666666666667</v>
      </c>
      <c r="O16" s="25">
        <f>AVERAGE(O7,B7)</f>
        <v>0.6</v>
      </c>
      <c r="P16" s="85"/>
      <c r="Q16" s="139">
        <f>ROUND(AVERAGE(F21,N16),0)</f>
        <v>0</v>
      </c>
      <c r="R16" s="139">
        <f>ROUND(AVERAGE(G21,O16),0)</f>
        <v>0</v>
      </c>
      <c r="S16" s="85"/>
      <c r="T16" s="85"/>
      <c r="U16" s="88" t="str">
        <f>IF(N16&gt;0.6,"Yes","No")</f>
        <v>No</v>
      </c>
      <c r="V16" s="88" t="str">
        <f>IF(O16&gt;0.6,"Yes","No")</f>
        <v>No</v>
      </c>
      <c r="W16" s="85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57"/>
      <c r="BN16" s="57"/>
      <c r="BO16" s="57"/>
      <c r="BP16" s="57"/>
    </row>
    <row r="17" spans="1:68" s="52" customFormat="1" ht="20.100000000000001" customHeight="1">
      <c r="A17" s="28"/>
      <c r="B17" s="12"/>
      <c r="C17" s="12"/>
      <c r="D17" s="12"/>
      <c r="E17" s="12"/>
      <c r="F17" s="12"/>
      <c r="G17" s="27"/>
      <c r="H17" s="27"/>
      <c r="I17" s="27"/>
      <c r="J17" s="27"/>
      <c r="K17" s="27"/>
      <c r="L17" s="12"/>
      <c r="M17" s="22"/>
      <c r="N17" s="21"/>
      <c r="O17" s="21"/>
      <c r="P17" s="85"/>
      <c r="Q17" s="139"/>
      <c r="R17" s="139"/>
      <c r="S17" s="12"/>
      <c r="T17" s="85"/>
      <c r="U17" s="85"/>
      <c r="V17" s="85"/>
      <c r="W17" s="85"/>
      <c r="X17" s="21"/>
      <c r="Y17" s="21"/>
      <c r="Z17" s="21"/>
      <c r="AA17" s="21"/>
      <c r="AB17" s="21"/>
      <c r="AC17" s="142" t="s">
        <v>131</v>
      </c>
      <c r="AD17" s="142"/>
      <c r="AE17" s="142" t="s">
        <v>132</v>
      </c>
      <c r="AF17" s="142"/>
      <c r="AG17" s="142" t="s">
        <v>133</v>
      </c>
      <c r="AH17" s="142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57"/>
      <c r="BN17" s="57"/>
      <c r="BO17" s="57"/>
      <c r="BP17" s="57"/>
    </row>
    <row r="18" spans="1:68" s="52" customFormat="1" ht="20.10000000000000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4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3" t="s">
        <v>135</v>
      </c>
      <c r="AD18" s="23" t="s">
        <v>134</v>
      </c>
      <c r="AE18" s="23" t="s">
        <v>135</v>
      </c>
      <c r="AF18" s="23" t="s">
        <v>134</v>
      </c>
      <c r="AG18" s="23" t="s">
        <v>135</v>
      </c>
      <c r="AH18" s="23" t="s">
        <v>134</v>
      </c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57"/>
      <c r="BN18" s="57"/>
      <c r="BO18" s="57"/>
      <c r="BP18" s="57"/>
    </row>
    <row r="19" spans="1:68" s="52" customFormat="1" ht="20.100000000000001" customHeight="1">
      <c r="A19" s="138" t="s">
        <v>53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21"/>
      <c r="W19" s="21"/>
      <c r="X19" s="21"/>
      <c r="Y19" s="21"/>
      <c r="Z19" s="21"/>
      <c r="AA19" s="21"/>
      <c r="AB19" s="21"/>
      <c r="AC19" s="28" t="str">
        <f>CONCATENATE(C3,"/",D3,"/",E3)</f>
        <v>3/2/5</v>
      </c>
      <c r="AD19" s="23" t="str">
        <f>CONCATENATE(F3,"/",G3)</f>
        <v>6/7</v>
      </c>
      <c r="AE19" s="24" t="str">
        <f>CONCATENATE(J3,"/",K3,"/",L3)</f>
        <v>1/2/3</v>
      </c>
      <c r="AF19" s="24" t="str">
        <f>CONCATENATE(M3,"/",N3)</f>
        <v>2/4</v>
      </c>
      <c r="AG19" s="24" t="str">
        <f>CONCATENATE(Q3,"/",R3,"/",S3)</f>
        <v>2/0/2</v>
      </c>
      <c r="AH19" s="24" t="str">
        <f>CONCATENATE(T3,"/",U3)</f>
        <v>4/3</v>
      </c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57"/>
      <c r="BN19" s="57"/>
      <c r="BO19" s="57"/>
      <c r="BP19" s="57"/>
    </row>
    <row r="20" spans="1:68" s="52" customFormat="1" ht="20.100000000000001" customHeight="1">
      <c r="A20" s="138" t="s">
        <v>54</v>
      </c>
      <c r="B20" s="138"/>
      <c r="C20" s="138" t="s">
        <v>55</v>
      </c>
      <c r="D20" s="138"/>
      <c r="E20" s="29" t="s">
        <v>56</v>
      </c>
      <c r="F20" s="27" t="s">
        <v>43</v>
      </c>
      <c r="G20" s="27" t="s">
        <v>44</v>
      </c>
      <c r="H20" s="140" t="s">
        <v>47</v>
      </c>
      <c r="I20" s="141"/>
      <c r="J20" s="141" t="s">
        <v>45</v>
      </c>
      <c r="K20" s="141"/>
      <c r="L20" s="141"/>
      <c r="M20" s="29" t="s">
        <v>49</v>
      </c>
      <c r="N20" s="29" t="s">
        <v>57</v>
      </c>
      <c r="O20" s="28" t="s">
        <v>48</v>
      </c>
      <c r="P20" s="51" t="s">
        <v>58</v>
      </c>
      <c r="Q20" s="22" t="s">
        <v>59</v>
      </c>
      <c r="R20" s="22" t="s">
        <v>60</v>
      </c>
      <c r="S20" s="28" t="s">
        <v>61</v>
      </c>
      <c r="T20" s="28" t="s">
        <v>36</v>
      </c>
      <c r="U20" s="22" t="s">
        <v>62</v>
      </c>
      <c r="V20" s="22"/>
      <c r="W20" s="21"/>
      <c r="X20" s="21"/>
      <c r="Y20" s="21"/>
      <c r="Z20" s="21"/>
      <c r="AA20" s="21"/>
      <c r="AB20" s="21"/>
      <c r="AC20" s="28" t="str">
        <f>CONCATENATE(C4,"/",D4,"/",E4)</f>
        <v>4/1/5</v>
      </c>
      <c r="AD20" s="23" t="str">
        <f>CONCATENATE(F4,"/",G4)</f>
        <v>7/11</v>
      </c>
      <c r="AE20" s="24" t="str">
        <f>CONCATENATE(J4,"/",K4,"/",L4)</f>
        <v>2/0/2</v>
      </c>
      <c r="AF20" s="24" t="str">
        <f>CONCATENATE(M4,"/",N4)</f>
        <v>4/5</v>
      </c>
      <c r="AG20" s="24" t="str">
        <f>CONCATENATE(Q4,"/",R4,"/",S4)</f>
        <v>2/1/3</v>
      </c>
      <c r="AH20" s="24" t="str">
        <f>CONCATENATE(T4,"/",U4)</f>
        <v>3/6</v>
      </c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57"/>
      <c r="BN20" s="57"/>
      <c r="BO20" s="57"/>
      <c r="BP20" s="57"/>
    </row>
    <row r="21" spans="1:68" s="52" customFormat="1" ht="20.100000000000001" customHeight="1">
      <c r="A21" s="138" t="str">
        <f>'Team 1'!A3</f>
        <v>Santa Fe</v>
      </c>
      <c r="B21" s="138"/>
      <c r="C21" s="138" t="str">
        <f>'Team 2'!A3</f>
        <v>America De Cali</v>
      </c>
      <c r="D21" s="138"/>
      <c r="E21" s="12">
        <f>B16</f>
        <v>0.77499999999999991</v>
      </c>
      <c r="F21" s="12">
        <f t="shared" ref="F21:L21" si="1">C16</f>
        <v>0.20416666666666666</v>
      </c>
      <c r="G21" s="12">
        <f t="shared" si="1"/>
        <v>-2.916666666666673E-2</v>
      </c>
      <c r="H21" s="12" t="str">
        <f>CONCATENATE('Team 1'!S4," ",'Team 1'!S5," ",'Team 1'!S6," ",'Team 1'!S7," ",'Team 1'!S8)</f>
        <v>П В В П Н</v>
      </c>
      <c r="I21" s="12" t="str">
        <f>CONCATENATE('Team 2'!S4," ",'Team 2'!S5," ",'Team 2'!S6," ",'Team 2'!S7," ",'Team 2'!S8)</f>
        <v>В П П П П</v>
      </c>
      <c r="J21" s="27">
        <f t="shared" si="1"/>
        <v>0.23333333333333334</v>
      </c>
      <c r="K21" s="27">
        <f t="shared" si="1"/>
        <v>0.4</v>
      </c>
      <c r="L21" s="27">
        <f t="shared" si="1"/>
        <v>0.3666666666666667</v>
      </c>
      <c r="M21" s="27">
        <f>V5+V6/2</f>
        <v>0.41666666666666669</v>
      </c>
      <c r="N21" s="86">
        <f>V7+V6/2</f>
        <v>0.58333333333333337</v>
      </c>
      <c r="O21" s="12">
        <f>F21-G21</f>
        <v>0.23333333333333339</v>
      </c>
      <c r="P21" s="22" t="str">
        <f>IF(AND(J21-L21&gt;0.27,Q16&gt;R16),"П1",IF(AND(J21&gt;L21,Q16&gt;=R16),"1X",IF(AND(L21-J21&gt;0.12,R16&gt;0),"П2",IF(AND(L21&gt;J21,R16&gt;=Q16),"Х2",""))))</f>
        <v>Х2</v>
      </c>
      <c r="Q21" s="22">
        <f>'Team 1'!AQ13*1000+'Team 1'!AR13*100+'Team 1'!AS13*10+'Team 1'!AT13</f>
        <v>4200</v>
      </c>
      <c r="R21" s="22">
        <f>'Team 2'!AQ13*1000+'Team 1'!AR13*100+'Team 1'!AS13*10+'Team 1'!AT13</f>
        <v>2200</v>
      </c>
      <c r="S21" s="21" t="str">
        <f>IF(E21&gt;2.6,IF(Q16+R16&gt;2,"ТБ(2)"," "),IF(E21&lt;2.45,IF(Q16+R16&lt;3,"ТМ(3)"," ")," "))</f>
        <v>ТМ(3)</v>
      </c>
      <c r="T21" s="5" t="str">
        <f>CONCATENATE(Q16,":",R16)</f>
        <v>0:0</v>
      </c>
      <c r="U21" s="8">
        <f>(COUNTIF('Team 2'!BB4:BB13,"&gt;2,5")+COUNTIF('Team 1'!BB4:BB13,"&gt;2,5"))/COUNT('Team 1'!BB4:BB13,'Team 2'!BB4:BB13)</f>
        <v>0.2</v>
      </c>
      <c r="V21" s="5"/>
      <c r="W21" s="21"/>
      <c r="X21" s="21"/>
      <c r="Y21" s="21"/>
      <c r="Z21" s="21"/>
      <c r="AA21" s="21"/>
      <c r="AB21" s="21"/>
      <c r="AC21" s="28"/>
      <c r="AD21" s="23"/>
      <c r="AE21" s="24"/>
      <c r="AF21" s="24"/>
      <c r="AG21" s="24"/>
      <c r="AH21" s="24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57"/>
      <c r="BN21" s="57"/>
      <c r="BO21" s="57"/>
      <c r="BP21" s="57"/>
    </row>
    <row r="22" spans="1:68" s="52" customFormat="1" ht="20.100000000000001" customHeight="1">
      <c r="A22" s="21"/>
      <c r="B22" s="21"/>
      <c r="C22" s="21"/>
      <c r="D22" s="21"/>
      <c r="E22" s="21"/>
      <c r="F22" s="21"/>
      <c r="G22" s="12"/>
      <c r="H22" s="12"/>
      <c r="I22" s="12"/>
      <c r="J22" s="27"/>
      <c r="K22" s="27"/>
      <c r="L22" s="27"/>
      <c r="M22" s="27"/>
      <c r="N22" s="137"/>
      <c r="O22" s="137"/>
      <c r="P22" s="137"/>
      <c r="Q22" s="137"/>
      <c r="R22" s="137"/>
      <c r="S22" s="21"/>
      <c r="T22" s="5"/>
      <c r="U22" s="5"/>
      <c r="V22" s="5"/>
      <c r="W22" s="21"/>
      <c r="X22" s="21"/>
      <c r="Y22" s="21"/>
      <c r="Z22" s="21"/>
      <c r="AA22" s="21"/>
      <c r="AB22" s="21"/>
      <c r="AC22" s="28"/>
      <c r="AD22" s="23"/>
      <c r="AE22" s="24"/>
      <c r="AF22" s="24"/>
      <c r="AG22" s="24"/>
      <c r="AH22" s="24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57"/>
      <c r="BN22" s="57"/>
      <c r="BO22" s="57"/>
      <c r="BP22" s="57"/>
    </row>
    <row r="23" spans="1:68" ht="20.100000000000001" customHeight="1">
      <c r="G23" s="11"/>
      <c r="AC23" s="9"/>
      <c r="AD23" s="13"/>
      <c r="AE23" s="6"/>
      <c r="AF23" s="6"/>
      <c r="AG23" s="6"/>
      <c r="AH23" s="6"/>
    </row>
    <row r="24" spans="1:68" ht="20.100000000000001" customHeight="1">
      <c r="A24" s="144" t="s">
        <v>143</v>
      </c>
      <c r="B24" s="144"/>
      <c r="C24" s="144"/>
      <c r="D24" s="144"/>
      <c r="E24" s="144"/>
      <c r="F24" s="13"/>
    </row>
    <row r="25" spans="1:68" ht="20.100000000000001" customHeight="1">
      <c r="A25" s="142" t="s">
        <v>125</v>
      </c>
      <c r="B25" s="142"/>
      <c r="C25" s="142"/>
      <c r="D25" s="142"/>
      <c r="F25" s="13"/>
    </row>
    <row r="26" spans="1:68" ht="20.100000000000001" customHeight="1">
      <c r="A26" s="142"/>
      <c r="B26" s="142"/>
      <c r="C26" s="142"/>
      <c r="D26" s="142"/>
      <c r="F26" s="13"/>
      <c r="G26" s="13"/>
    </row>
    <row r="27" spans="1:68" ht="20.100000000000001" customHeight="1">
      <c r="A27" s="142"/>
      <c r="B27" s="142"/>
      <c r="C27" s="142"/>
      <c r="D27" s="142"/>
      <c r="G27" s="13"/>
    </row>
    <row r="28" spans="1:68" ht="20.100000000000001" customHeight="1">
      <c r="A28" s="23"/>
      <c r="B28" s="23"/>
      <c r="C28" s="23"/>
      <c r="D28" s="23"/>
      <c r="G28" s="13"/>
    </row>
    <row r="29" spans="1:68" ht="20.100000000000001" customHeight="1">
      <c r="A29" s="142" t="s">
        <v>71</v>
      </c>
      <c r="B29" s="142"/>
      <c r="C29" s="142" t="s">
        <v>75</v>
      </c>
      <c r="D29" s="142"/>
    </row>
    <row r="30" spans="1:68" ht="20.100000000000001" customHeight="1">
      <c r="A30" s="143">
        <f>A34+A38-0.5</f>
        <v>-0.3</v>
      </c>
      <c r="B30" s="142"/>
      <c r="C30" s="143">
        <f>C34+C38-1.5</f>
        <v>1.7000000000000002</v>
      </c>
      <c r="D30" s="142"/>
      <c r="H30" s="13"/>
    </row>
    <row r="31" spans="1:68" ht="20.100000000000001" customHeight="1">
      <c r="A31" s="142"/>
      <c r="B31" s="142"/>
      <c r="C31" s="142"/>
      <c r="D31" s="142"/>
      <c r="H31" s="13"/>
    </row>
    <row r="32" spans="1:68" ht="20.100000000000001" customHeight="1">
      <c r="A32" s="7"/>
      <c r="B32" s="7"/>
      <c r="C32" s="7"/>
      <c r="D32" s="7"/>
      <c r="H32" s="13"/>
    </row>
    <row r="33" spans="1:4" ht="20.100000000000001" customHeight="1">
      <c r="A33" s="142" t="s">
        <v>126</v>
      </c>
      <c r="B33" s="142"/>
      <c r="C33" s="142" t="s">
        <v>127</v>
      </c>
      <c r="D33" s="142"/>
    </row>
    <row r="34" spans="1:4" ht="20.100000000000001" customHeight="1">
      <c r="A34" s="143">
        <f>ROUNDDOWN(F21,1)</f>
        <v>0.2</v>
      </c>
      <c r="B34" s="142"/>
      <c r="C34" s="143">
        <f>ROUNDUP((A34+1.5),1)</f>
        <v>1.7</v>
      </c>
      <c r="D34" s="142"/>
    </row>
    <row r="35" spans="1:4" ht="20.100000000000001" customHeight="1">
      <c r="A35" s="142"/>
      <c r="B35" s="142"/>
      <c r="C35" s="142"/>
      <c r="D35" s="142"/>
    </row>
    <row r="36" spans="1:4" ht="20.100000000000001" customHeight="1">
      <c r="A36" s="7"/>
      <c r="B36" s="7"/>
      <c r="C36" s="7"/>
      <c r="D36" s="7"/>
    </row>
    <row r="37" spans="1:4" ht="20.100000000000001" customHeight="1">
      <c r="A37" s="142" t="s">
        <v>128</v>
      </c>
      <c r="B37" s="142"/>
      <c r="C37" s="142" t="s">
        <v>129</v>
      </c>
      <c r="D37" s="142"/>
    </row>
    <row r="38" spans="1:4" ht="20.100000000000001" customHeight="1">
      <c r="A38" s="143">
        <f>ROUNDDOWN(G21,1)</f>
        <v>0</v>
      </c>
      <c r="B38" s="142"/>
      <c r="C38" s="143">
        <f>ROUNDUP((A38+1.5),1)</f>
        <v>1.5</v>
      </c>
      <c r="D38" s="142"/>
    </row>
    <row r="39" spans="1:4" ht="20.100000000000001" customHeight="1">
      <c r="A39" s="142"/>
      <c r="B39" s="142"/>
      <c r="C39" s="142"/>
      <c r="D39" s="142"/>
    </row>
  </sheetData>
  <mergeCells count="73">
    <mergeCell ref="D12:E12"/>
    <mergeCell ref="F12:H12"/>
    <mergeCell ref="I12:J12"/>
    <mergeCell ref="E15:F15"/>
    <mergeCell ref="G15:I15"/>
    <mergeCell ref="M9:N9"/>
    <mergeCell ref="I11:L11"/>
    <mergeCell ref="B10:C10"/>
    <mergeCell ref="D10:E10"/>
    <mergeCell ref="F10:G10"/>
    <mergeCell ref="B11:C11"/>
    <mergeCell ref="D11:H11"/>
    <mergeCell ref="B1:H1"/>
    <mergeCell ref="I1:O1"/>
    <mergeCell ref="P1:V1"/>
    <mergeCell ref="B6:D6"/>
    <mergeCell ref="E6:H6"/>
    <mergeCell ref="I6:K6"/>
    <mergeCell ref="L6:N6"/>
    <mergeCell ref="O6:Q6"/>
    <mergeCell ref="R6:T6"/>
    <mergeCell ref="O5:Q5"/>
    <mergeCell ref="R5:T5"/>
    <mergeCell ref="L5:N5"/>
    <mergeCell ref="E5:H5"/>
    <mergeCell ref="B5:D5"/>
    <mergeCell ref="I5:K5"/>
    <mergeCell ref="A27:B27"/>
    <mergeCell ref="A24:E24"/>
    <mergeCell ref="A25:D26"/>
    <mergeCell ref="R7:T7"/>
    <mergeCell ref="B7:D7"/>
    <mergeCell ref="E7:H7"/>
    <mergeCell ref="I7:K7"/>
    <mergeCell ref="L7:N7"/>
    <mergeCell ref="O7:Q7"/>
    <mergeCell ref="B8:C8"/>
    <mergeCell ref="D8:E8"/>
    <mergeCell ref="F8:G8"/>
    <mergeCell ref="B9:C9"/>
    <mergeCell ref="D9:E9"/>
    <mergeCell ref="F9:G9"/>
    <mergeCell ref="Q15:R15"/>
    <mergeCell ref="AE17:AF17"/>
    <mergeCell ref="AG17:AH17"/>
    <mergeCell ref="A37:B37"/>
    <mergeCell ref="C37:D37"/>
    <mergeCell ref="A38:B39"/>
    <mergeCell ref="C38:D39"/>
    <mergeCell ref="AC17:AD17"/>
    <mergeCell ref="A30:B31"/>
    <mergeCell ref="C30:D31"/>
    <mergeCell ref="A33:B33"/>
    <mergeCell ref="C33:D33"/>
    <mergeCell ref="A34:B35"/>
    <mergeCell ref="C34:D35"/>
    <mergeCell ref="A29:B29"/>
    <mergeCell ref="C29:D29"/>
    <mergeCell ref="C27:D27"/>
    <mergeCell ref="P13:S14"/>
    <mergeCell ref="A14:C14"/>
    <mergeCell ref="U15:V15"/>
    <mergeCell ref="T13:W14"/>
    <mergeCell ref="N22:R22"/>
    <mergeCell ref="A21:B21"/>
    <mergeCell ref="C21:D21"/>
    <mergeCell ref="Q16:Q17"/>
    <mergeCell ref="R16:R17"/>
    <mergeCell ref="A19:U19"/>
    <mergeCell ref="A20:B20"/>
    <mergeCell ref="C20:D20"/>
    <mergeCell ref="H20:I20"/>
    <mergeCell ref="J20:L2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>
    <tabColor rgb="FFFFFF00"/>
  </sheetPr>
  <dimension ref="A1:F30"/>
  <sheetViews>
    <sheetView tabSelected="1" workbookViewId="0">
      <selection activeCell="C8" sqref="C8"/>
    </sheetView>
  </sheetViews>
  <sheetFormatPr defaultRowHeight="15.75" customHeight="1"/>
  <cols>
    <col min="1" max="1" width="15.140625" style="131" customWidth="1"/>
    <col min="2" max="2" width="7" style="131" customWidth="1"/>
    <col min="3" max="4" width="26.7109375" style="131" customWidth="1"/>
    <col min="5" max="5" width="8.7109375" style="131" customWidth="1"/>
    <col min="6" max="7" width="9.140625" style="131"/>
    <col min="8" max="8" width="40.7109375" style="131" customWidth="1"/>
    <col min="9" max="16384" width="9.140625" style="131"/>
  </cols>
  <sheetData>
    <row r="1" spans="1:6" ht="15.75" customHeight="1">
      <c r="A1" s="187" t="s">
        <v>184</v>
      </c>
      <c r="B1" s="188"/>
      <c r="C1" s="188"/>
      <c r="D1" s="188"/>
      <c r="E1" s="188"/>
      <c r="F1" s="134"/>
    </row>
    <row r="2" spans="1:6" ht="15.75" customHeight="1">
      <c r="A2" s="189" t="s">
        <v>179</v>
      </c>
      <c r="B2" s="189" t="s">
        <v>176</v>
      </c>
      <c r="C2" s="189" t="s">
        <v>185</v>
      </c>
      <c r="D2" s="189" t="s">
        <v>186</v>
      </c>
      <c r="E2" s="189" t="s">
        <v>158</v>
      </c>
      <c r="F2" s="134"/>
    </row>
    <row r="3" spans="1:6" ht="15.75" customHeight="1">
      <c r="A3" s="189" t="s">
        <v>187</v>
      </c>
      <c r="B3" s="189" t="s">
        <v>176</v>
      </c>
      <c r="C3" s="189" t="s">
        <v>188</v>
      </c>
      <c r="D3" s="189" t="s">
        <v>185</v>
      </c>
      <c r="E3" s="189" t="s">
        <v>178</v>
      </c>
      <c r="F3" s="134"/>
    </row>
    <row r="4" spans="1:6" ht="15.75" customHeight="1">
      <c r="A4" s="189" t="s">
        <v>189</v>
      </c>
      <c r="B4" s="189" t="s">
        <v>176</v>
      </c>
      <c r="C4" s="189" t="s">
        <v>185</v>
      </c>
      <c r="D4" s="189" t="s">
        <v>190</v>
      </c>
      <c r="E4" s="189" t="s">
        <v>181</v>
      </c>
      <c r="F4" s="134"/>
    </row>
    <row r="5" spans="1:6" ht="15.75" customHeight="1">
      <c r="A5" s="189" t="s">
        <v>183</v>
      </c>
      <c r="B5" s="189" t="s">
        <v>176</v>
      </c>
      <c r="C5" s="189" t="s">
        <v>191</v>
      </c>
      <c r="D5" s="189" t="s">
        <v>185</v>
      </c>
      <c r="E5" s="189" t="s">
        <v>181</v>
      </c>
      <c r="F5" s="134"/>
    </row>
    <row r="6" spans="1:6" ht="15.75" customHeight="1">
      <c r="A6" s="189" t="s">
        <v>192</v>
      </c>
      <c r="B6" s="189" t="s">
        <v>177</v>
      </c>
      <c r="C6" s="189" t="s">
        <v>185</v>
      </c>
      <c r="D6" s="189" t="s">
        <v>193</v>
      </c>
      <c r="E6" s="189" t="s">
        <v>156</v>
      </c>
      <c r="F6" s="134"/>
    </row>
    <row r="7" spans="1:6" ht="15.75" customHeight="1">
      <c r="A7" s="187" t="s">
        <v>172</v>
      </c>
      <c r="B7" s="188"/>
      <c r="C7" s="188"/>
      <c r="D7" s="188"/>
      <c r="E7" s="188"/>
      <c r="F7" s="134"/>
    </row>
    <row r="8" spans="1:6" ht="15.75" customHeight="1">
      <c r="A8" s="187" t="s">
        <v>194</v>
      </c>
      <c r="B8" s="188"/>
      <c r="C8" s="188"/>
      <c r="D8" s="188"/>
      <c r="E8" s="188"/>
      <c r="F8" s="134"/>
    </row>
    <row r="9" spans="1:6" ht="15.75" customHeight="1">
      <c r="A9" s="189" t="s">
        <v>195</v>
      </c>
      <c r="B9" s="189" t="s">
        <v>176</v>
      </c>
      <c r="C9" s="189" t="s">
        <v>196</v>
      </c>
      <c r="D9" s="189" t="s">
        <v>191</v>
      </c>
      <c r="E9" s="189" t="s">
        <v>137</v>
      </c>
      <c r="F9" s="134"/>
    </row>
    <row r="10" spans="1:6" ht="15.75" customHeight="1">
      <c r="A10" s="189" t="s">
        <v>197</v>
      </c>
      <c r="B10" s="189" t="s">
        <v>176</v>
      </c>
      <c r="C10" s="189" t="s">
        <v>198</v>
      </c>
      <c r="D10" s="189" t="s">
        <v>196</v>
      </c>
      <c r="E10" s="189" t="s">
        <v>181</v>
      </c>
      <c r="F10" s="134"/>
    </row>
    <row r="11" spans="1:6" ht="15.75" customHeight="1">
      <c r="A11" s="189" t="s">
        <v>189</v>
      </c>
      <c r="B11" s="189" t="s">
        <v>177</v>
      </c>
      <c r="C11" s="189" t="s">
        <v>196</v>
      </c>
      <c r="D11" s="189" t="s">
        <v>199</v>
      </c>
      <c r="E11" s="189" t="s">
        <v>178</v>
      </c>
      <c r="F11" s="134"/>
    </row>
    <row r="12" spans="1:6" ht="15.75" customHeight="1">
      <c r="A12" s="189" t="s">
        <v>180</v>
      </c>
      <c r="B12" s="189" t="s">
        <v>176</v>
      </c>
      <c r="C12" s="189" t="s">
        <v>200</v>
      </c>
      <c r="D12" s="189" t="s">
        <v>196</v>
      </c>
      <c r="E12" s="189" t="s">
        <v>175</v>
      </c>
      <c r="F12" s="134"/>
    </row>
    <row r="13" spans="1:6" ht="15.75" customHeight="1" thickBot="1">
      <c r="A13" s="189" t="s">
        <v>201</v>
      </c>
      <c r="B13" s="189" t="s">
        <v>176</v>
      </c>
      <c r="C13" s="189" t="s">
        <v>202</v>
      </c>
      <c r="D13" s="189" t="s">
        <v>196</v>
      </c>
      <c r="E13" s="189" t="s">
        <v>138</v>
      </c>
      <c r="F13" s="134"/>
    </row>
    <row r="14" spans="1:6" ht="15.75" customHeight="1" thickBot="1">
      <c r="A14" s="190" t="s">
        <v>172</v>
      </c>
      <c r="B14" s="191"/>
      <c r="C14" s="191"/>
      <c r="D14" s="191"/>
      <c r="E14" s="191"/>
      <c r="F14" s="134"/>
    </row>
    <row r="15" spans="1:6" ht="15.75" customHeight="1" thickBot="1">
      <c r="A15" s="190" t="s">
        <v>203</v>
      </c>
      <c r="B15" s="191"/>
      <c r="C15" s="191"/>
      <c r="D15" s="191"/>
      <c r="E15" s="191"/>
      <c r="F15" s="134"/>
    </row>
    <row r="16" spans="1:6" ht="15.75" customHeight="1" thickBot="1">
      <c r="A16" s="192" t="s">
        <v>204</v>
      </c>
      <c r="B16" s="192" t="s">
        <v>182</v>
      </c>
      <c r="C16" s="192" t="s">
        <v>185</v>
      </c>
      <c r="D16" s="192" t="s">
        <v>196</v>
      </c>
      <c r="E16" s="192" t="s">
        <v>158</v>
      </c>
      <c r="F16" s="134"/>
    </row>
    <row r="17" spans="1:6" ht="15.75" customHeight="1" thickBot="1">
      <c r="A17" s="192" t="s">
        <v>205</v>
      </c>
      <c r="B17" s="192" t="s">
        <v>176</v>
      </c>
      <c r="C17" s="192" t="s">
        <v>185</v>
      </c>
      <c r="D17" s="192" t="s">
        <v>196</v>
      </c>
      <c r="E17" s="192" t="s">
        <v>174</v>
      </c>
      <c r="F17" s="134"/>
    </row>
    <row r="18" spans="1:6" ht="15.75" customHeight="1" thickBot="1">
      <c r="A18" s="192" t="s">
        <v>206</v>
      </c>
      <c r="B18" s="192" t="s">
        <v>176</v>
      </c>
      <c r="C18" s="192" t="s">
        <v>196</v>
      </c>
      <c r="D18" s="192" t="s">
        <v>185</v>
      </c>
      <c r="E18" s="192" t="s">
        <v>158</v>
      </c>
      <c r="F18" s="134"/>
    </row>
    <row r="19" spans="1:6" ht="15.75" customHeight="1" thickBot="1">
      <c r="A19" s="192" t="s">
        <v>207</v>
      </c>
      <c r="B19" s="192" t="s">
        <v>176</v>
      </c>
      <c r="C19" s="192" t="s">
        <v>185</v>
      </c>
      <c r="D19" s="192" t="s">
        <v>196</v>
      </c>
      <c r="E19" s="192" t="s">
        <v>158</v>
      </c>
      <c r="F19" s="134"/>
    </row>
    <row r="20" spans="1:6" ht="15.75" customHeight="1" thickBot="1">
      <c r="A20" s="192" t="s">
        <v>208</v>
      </c>
      <c r="B20" s="192" t="s">
        <v>176</v>
      </c>
      <c r="C20" s="192" t="s">
        <v>196</v>
      </c>
      <c r="D20" s="192" t="s">
        <v>185</v>
      </c>
      <c r="E20" s="192" t="s">
        <v>138</v>
      </c>
      <c r="F20" s="134"/>
    </row>
    <row r="21" spans="1:6" ht="15.75" customHeight="1">
      <c r="A21" s="132"/>
      <c r="B21" s="132"/>
      <c r="C21" s="132"/>
      <c r="D21" s="132"/>
      <c r="E21" s="132"/>
    </row>
    <row r="22" spans="1:6" ht="15.75" customHeight="1">
      <c r="A22" s="132"/>
      <c r="B22" s="132"/>
      <c r="C22" s="132"/>
      <c r="D22" s="132"/>
      <c r="E22" s="132"/>
    </row>
    <row r="23" spans="1:6" ht="15.75" customHeight="1">
      <c r="A23" s="132"/>
      <c r="B23" s="132"/>
      <c r="C23" s="132"/>
      <c r="D23" s="132"/>
      <c r="E23" s="132"/>
    </row>
    <row r="24" spans="1:6" ht="15.75" customHeight="1">
      <c r="A24" s="132"/>
      <c r="B24" s="132"/>
      <c r="C24" s="132"/>
      <c r="D24" s="132"/>
      <c r="E24" s="132"/>
    </row>
    <row r="25" spans="1:6" ht="15.75" customHeight="1">
      <c r="A25" s="132"/>
      <c r="B25" s="132"/>
      <c r="C25" s="132"/>
      <c r="D25" s="132"/>
      <c r="E25" s="132"/>
    </row>
    <row r="26" spans="1:6" ht="15.75" customHeight="1">
      <c r="A26" s="132"/>
      <c r="B26" s="132"/>
      <c r="C26" s="132"/>
      <c r="D26" s="132"/>
      <c r="E26" s="132"/>
    </row>
    <row r="27" spans="1:6" ht="15.75" customHeight="1">
      <c r="A27" s="132"/>
      <c r="B27" s="132"/>
      <c r="C27" s="132"/>
      <c r="D27" s="132"/>
      <c r="E27" s="132"/>
    </row>
    <row r="28" spans="1:6" ht="15.75" customHeight="1">
      <c r="A28" s="132"/>
      <c r="B28" s="132"/>
      <c r="C28" s="132"/>
      <c r="D28" s="132"/>
      <c r="E28" s="132"/>
    </row>
    <row r="29" spans="1:6" ht="15.75" customHeight="1">
      <c r="A29" s="132"/>
      <c r="B29" s="132"/>
      <c r="C29" s="132"/>
      <c r="D29" s="132"/>
      <c r="E29" s="132"/>
    </row>
    <row r="30" spans="1:6" ht="15.75" customHeight="1">
      <c r="A30" s="132"/>
      <c r="B30" s="132"/>
      <c r="C30" s="132"/>
      <c r="D30" s="132"/>
      <c r="E30" s="13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11"/>
  <sheetViews>
    <sheetView topLeftCell="E1" workbookViewId="0">
      <selection activeCell="B21" sqref="B21:B25"/>
    </sheetView>
  </sheetViews>
  <sheetFormatPr defaultRowHeight="15.75"/>
  <cols>
    <col min="1" max="5" width="9.140625" style="133"/>
    <col min="6" max="13" width="9.7109375" style="133" customWidth="1"/>
    <col min="14" max="16384" width="9.140625" style="133"/>
  </cols>
  <sheetData>
    <row r="1" spans="6:13" ht="52.5" customHeight="1" thickBot="1">
      <c r="F1" s="149" t="s">
        <v>173</v>
      </c>
      <c r="G1" s="149"/>
      <c r="H1" s="149"/>
      <c r="I1" s="149"/>
      <c r="J1" s="149"/>
      <c r="K1" s="149"/>
      <c r="L1" s="149"/>
      <c r="M1" s="149"/>
    </row>
    <row r="2" spans="6:13" ht="16.5" thickBot="1">
      <c r="F2" s="148" t="str">
        <f>'A15'!A21</f>
        <v>Santa Fe</v>
      </c>
      <c r="G2" s="148"/>
      <c r="H2" s="148"/>
      <c r="I2" s="148"/>
      <c r="J2" s="148" t="str">
        <f>'A15'!C21</f>
        <v>America De Cali</v>
      </c>
      <c r="K2" s="148"/>
      <c r="L2" s="148"/>
      <c r="M2" s="148"/>
    </row>
    <row r="3" spans="6:13" ht="16.5" thickBot="1">
      <c r="F3" s="148"/>
      <c r="G3" s="148"/>
      <c r="H3" s="148"/>
      <c r="I3" s="148"/>
      <c r="J3" s="148"/>
      <c r="K3" s="148"/>
      <c r="L3" s="148"/>
      <c r="M3" s="148"/>
    </row>
    <row r="4" spans="6:13" ht="16.5" thickBot="1">
      <c r="F4" s="149" t="str">
        <f>'A15'!Q12</f>
        <v>0 - 0</v>
      </c>
      <c r="G4" s="149"/>
      <c r="H4" s="149"/>
      <c r="I4" s="149"/>
      <c r="J4" s="150" t="str">
        <f>А25!AJ8</f>
        <v>2/Х</v>
      </c>
      <c r="K4" s="150"/>
      <c r="L4" s="150"/>
      <c r="M4" s="150"/>
    </row>
    <row r="5" spans="6:13" ht="16.5" thickBot="1">
      <c r="F5" s="149"/>
      <c r="G5" s="149"/>
      <c r="H5" s="149"/>
      <c r="I5" s="149"/>
      <c r="J5" s="150"/>
      <c r="K5" s="150"/>
      <c r="L5" s="150"/>
      <c r="M5" s="150"/>
    </row>
    <row r="6" spans="6:13" ht="16.5" thickBot="1">
      <c r="F6" s="149"/>
      <c r="G6" s="149"/>
      <c r="H6" s="149"/>
      <c r="I6" s="149"/>
      <c r="J6" s="150"/>
      <c r="K6" s="150"/>
      <c r="L6" s="150"/>
      <c r="M6" s="150"/>
    </row>
    <row r="7" spans="6:13" ht="16.5" thickBot="1">
      <c r="F7" s="149"/>
      <c r="G7" s="149"/>
      <c r="H7" s="149"/>
      <c r="I7" s="149"/>
      <c r="J7" s="150"/>
      <c r="K7" s="150"/>
      <c r="L7" s="150"/>
      <c r="M7" s="150"/>
    </row>
    <row r="8" spans="6:13" ht="16.5" thickBot="1">
      <c r="F8" s="149"/>
      <c r="G8" s="149"/>
      <c r="H8" s="149"/>
      <c r="I8" s="149"/>
      <c r="J8" s="150"/>
      <c r="K8" s="150"/>
      <c r="L8" s="150"/>
      <c r="M8" s="150"/>
    </row>
    <row r="9" spans="6:13" ht="16.5" thickBot="1">
      <c r="F9" s="149"/>
      <c r="G9" s="149"/>
      <c r="H9" s="149"/>
      <c r="I9" s="149"/>
      <c r="J9" s="150"/>
      <c r="K9" s="150"/>
      <c r="L9" s="150"/>
      <c r="M9" s="150"/>
    </row>
    <row r="10" spans="6:13" ht="16.5" thickBot="1">
      <c r="F10" s="149"/>
      <c r="G10" s="149"/>
      <c r="H10" s="149"/>
      <c r="I10" s="149"/>
      <c r="J10" s="150"/>
      <c r="K10" s="150"/>
      <c r="L10" s="150"/>
      <c r="M10" s="150"/>
    </row>
    <row r="11" spans="6:13" ht="16.5" thickBot="1">
      <c r="F11" s="149"/>
      <c r="G11" s="149"/>
      <c r="H11" s="149"/>
      <c r="I11" s="149"/>
      <c r="J11" s="150"/>
      <c r="K11" s="150"/>
      <c r="L11" s="150"/>
      <c r="M11" s="150"/>
    </row>
  </sheetData>
  <mergeCells count="5">
    <mergeCell ref="F2:I3"/>
    <mergeCell ref="J2:M3"/>
    <mergeCell ref="F4:I11"/>
    <mergeCell ref="J4:M11"/>
    <mergeCell ref="F1:M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1"/>
  <dimension ref="A1:BH42"/>
  <sheetViews>
    <sheetView showRuler="0" zoomScaleNormal="100" workbookViewId="0">
      <selection activeCell="BH10" sqref="BH10"/>
    </sheetView>
  </sheetViews>
  <sheetFormatPr defaultColWidth="9.85546875" defaultRowHeight="15.75" customHeight="1" outlineLevelRow="1" outlineLevelCol="1"/>
  <cols>
    <col min="1" max="1" width="10.85546875" style="59" bestFit="1" customWidth="1"/>
    <col min="2" max="2" width="6.85546875" style="59" customWidth="1"/>
    <col min="3" max="4" width="20.42578125" style="59" customWidth="1"/>
    <col min="5" max="5" width="9" style="59" customWidth="1"/>
    <col min="6" max="6" width="9.85546875" style="36" hidden="1" customWidth="1" outlineLevel="1"/>
    <col min="7" max="13" width="4.7109375" style="36" hidden="1" customWidth="1" outlineLevel="1"/>
    <col min="14" max="15" width="10" style="53" hidden="1" customWidth="1" outlineLevel="1"/>
    <col min="16" max="54" width="6.42578125" style="36" hidden="1" customWidth="1" outlineLevel="1"/>
    <col min="55" max="55" width="9.85546875" style="37" hidden="1" customWidth="1" outlineLevel="1"/>
    <col min="56" max="56" width="9.85546875" style="32" collapsed="1"/>
    <col min="57" max="60" width="9.85546875" style="32"/>
    <col min="61" max="16384" width="9.85546875" style="59"/>
  </cols>
  <sheetData>
    <row r="1" spans="1:60" ht="11.25" customHeight="1">
      <c r="A1" s="155" t="s">
        <v>171</v>
      </c>
      <c r="B1" s="156"/>
      <c r="C1" s="156"/>
      <c r="D1" s="156"/>
      <c r="E1" s="157"/>
    </row>
    <row r="2" spans="1:60" ht="12" customHeight="1" thickBot="1">
      <c r="A2" s="158"/>
      <c r="B2" s="159"/>
      <c r="C2" s="159"/>
      <c r="D2" s="159"/>
      <c r="E2" s="160"/>
      <c r="F2" s="38"/>
      <c r="G2" s="38"/>
      <c r="H2" s="38"/>
      <c r="I2" s="38"/>
      <c r="J2" s="38"/>
      <c r="K2" s="38"/>
      <c r="L2" s="38"/>
      <c r="M2" s="38"/>
      <c r="N2" s="54"/>
      <c r="O2" s="54"/>
      <c r="P2" s="20"/>
      <c r="Q2" s="20"/>
      <c r="R2" s="20"/>
      <c r="S2" s="20"/>
      <c r="T2" s="20"/>
      <c r="U2" s="20"/>
      <c r="V2" s="152" t="s">
        <v>8</v>
      </c>
      <c r="W2" s="152"/>
      <c r="X2" s="152"/>
      <c r="Y2" s="152"/>
      <c r="Z2" s="152"/>
      <c r="AA2" s="152"/>
      <c r="AB2" s="152"/>
      <c r="AC2" s="152" t="s">
        <v>9</v>
      </c>
      <c r="AD2" s="152"/>
      <c r="AE2" s="152"/>
      <c r="AF2" s="152"/>
      <c r="AG2" s="152"/>
      <c r="AH2" s="152"/>
      <c r="AI2" s="152"/>
      <c r="AJ2" s="152" t="s">
        <v>10</v>
      </c>
      <c r="AK2" s="152"/>
      <c r="AL2" s="152"/>
      <c r="AM2" s="152"/>
      <c r="AN2" s="152"/>
      <c r="AO2" s="152"/>
      <c r="AP2" s="152"/>
      <c r="AQ2" s="152" t="s">
        <v>11</v>
      </c>
      <c r="AR2" s="152"/>
      <c r="AS2" s="152"/>
      <c r="AT2" s="152"/>
      <c r="AU2" s="152" t="s">
        <v>12</v>
      </c>
      <c r="AV2" s="152"/>
      <c r="AW2" s="152"/>
      <c r="AX2" s="152"/>
      <c r="AY2" s="20"/>
      <c r="AZ2" s="20"/>
      <c r="BA2" s="20"/>
    </row>
    <row r="3" spans="1:60" ht="15.75" customHeight="1" thickBot="1">
      <c r="A3" s="153" t="str">
        <f>F3</f>
        <v>Santa Fe</v>
      </c>
      <c r="B3" s="135"/>
      <c r="C3" s="154"/>
      <c r="D3" s="80"/>
      <c r="E3" s="81" t="s">
        <v>0</v>
      </c>
      <c r="F3" s="53" t="str">
        <f>IF(COUNTIF(C4:D13,C4)&gt;COUNTIF(C4:D13,D4),C4,D4)</f>
        <v>Santa Fe</v>
      </c>
      <c r="G3" s="38" t="s">
        <v>1</v>
      </c>
      <c r="H3" s="38" t="s">
        <v>2</v>
      </c>
      <c r="I3" s="38" t="s">
        <v>3</v>
      </c>
      <c r="J3" s="38" t="s">
        <v>4</v>
      </c>
      <c r="K3" s="38" t="s">
        <v>5</v>
      </c>
      <c r="L3" s="38" t="s">
        <v>6</v>
      </c>
      <c r="M3" s="18" t="s">
        <v>0</v>
      </c>
      <c r="N3" s="55" t="s">
        <v>13</v>
      </c>
      <c r="O3" s="55" t="s">
        <v>14</v>
      </c>
      <c r="P3" s="17" t="s">
        <v>15</v>
      </c>
      <c r="Q3" s="17" t="s">
        <v>16</v>
      </c>
      <c r="R3" s="55" t="s">
        <v>7</v>
      </c>
      <c r="S3" s="55" t="s">
        <v>17</v>
      </c>
      <c r="T3" s="55" t="s">
        <v>18</v>
      </c>
      <c r="U3" s="55" t="s">
        <v>19</v>
      </c>
      <c r="V3" s="20" t="s">
        <v>20</v>
      </c>
      <c r="W3" s="20" t="s">
        <v>21</v>
      </c>
      <c r="X3" s="20" t="s">
        <v>22</v>
      </c>
      <c r="Y3" s="20" t="s">
        <v>23</v>
      </c>
      <c r="Z3" s="17" t="s">
        <v>18</v>
      </c>
      <c r="AA3" s="55" t="s">
        <v>19</v>
      </c>
      <c r="AB3" s="20" t="s">
        <v>24</v>
      </c>
      <c r="AC3" s="20" t="s">
        <v>20</v>
      </c>
      <c r="AD3" s="20" t="s">
        <v>21</v>
      </c>
      <c r="AE3" s="20" t="s">
        <v>22</v>
      </c>
      <c r="AF3" s="20" t="s">
        <v>23</v>
      </c>
      <c r="AG3" s="17" t="s">
        <v>18</v>
      </c>
      <c r="AH3" s="55" t="s">
        <v>19</v>
      </c>
      <c r="AI3" s="20" t="s">
        <v>24</v>
      </c>
      <c r="AJ3" s="20" t="s">
        <v>20</v>
      </c>
      <c r="AK3" s="20" t="s">
        <v>21</v>
      </c>
      <c r="AL3" s="20" t="s">
        <v>22</v>
      </c>
      <c r="AM3" s="20" t="s">
        <v>23</v>
      </c>
      <c r="AN3" s="17" t="s">
        <v>18</v>
      </c>
      <c r="AO3" s="55" t="s">
        <v>19</v>
      </c>
      <c r="AP3" s="20" t="s">
        <v>24</v>
      </c>
      <c r="AQ3" s="20">
        <v>0</v>
      </c>
      <c r="AR3" s="20">
        <v>1</v>
      </c>
      <c r="AS3" s="20">
        <v>2</v>
      </c>
      <c r="AT3" s="20" t="s">
        <v>25</v>
      </c>
      <c r="AU3" s="20">
        <v>0</v>
      </c>
      <c r="AV3" s="20">
        <v>1</v>
      </c>
      <c r="AW3" s="20">
        <v>2</v>
      </c>
      <c r="AX3" s="20" t="s">
        <v>25</v>
      </c>
      <c r="AY3" s="16" t="s">
        <v>26</v>
      </c>
      <c r="AZ3" s="16" t="s">
        <v>27</v>
      </c>
      <c r="BA3" s="16" t="s">
        <v>28</v>
      </c>
      <c r="BB3" s="16" t="s">
        <v>64</v>
      </c>
    </row>
    <row r="4" spans="1:60" ht="15.75" customHeight="1" thickBot="1">
      <c r="A4" s="82" t="str">
        <f>Cтатистика!A2</f>
        <v>18.03.18</v>
      </c>
      <c r="B4" s="83" t="str">
        <f>Cтатистика!B2</f>
        <v>LA</v>
      </c>
      <c r="C4" s="83" t="str">
        <f>Cтатистика!C2</f>
        <v>Santa Fe</v>
      </c>
      <c r="D4" s="83" t="str">
        <f>Cтатистика!D2</f>
        <v>Huila</v>
      </c>
      <c r="E4" s="84" t="str">
        <f>Cтатистика!E2</f>
        <v>0 : 1</v>
      </c>
      <c r="F4" s="60"/>
      <c r="G4" s="19">
        <f>IF(R4="Дома",K4,L4)</f>
        <v>0</v>
      </c>
      <c r="H4" s="19">
        <f>IF(R4="Дома",L4,K4)</f>
        <v>1</v>
      </c>
      <c r="I4" s="36" t="str">
        <f>IF(R4="Дома",IF(K4&gt;L4,"В",IF(K4=L4,"Н","П")),IF(L4&gt;K4,"В",IF(K4=L4,"Н","П")))</f>
        <v>П</v>
      </c>
      <c r="J4" s="36" t="str">
        <f t="shared" ref="J4:J13" si="0">B4</f>
        <v>LA</v>
      </c>
      <c r="K4" s="36">
        <f>VALUE(LEFT(M4,FIND(":",M4,1)-1))</f>
        <v>0</v>
      </c>
      <c r="L4" s="36">
        <f>VALUE(LEFT(RIGHT(M4,LEN(M4)-FIND(":",M4,1)),1))</f>
        <v>1</v>
      </c>
      <c r="M4" s="19" t="str">
        <f t="shared" ref="M4:M13" si="1">SUBSTITUTE(E4," : ",":")</f>
        <v>0:1</v>
      </c>
      <c r="N4" s="53" t="str">
        <f t="shared" ref="N4:N13" si="2">C4</f>
        <v>Santa Fe</v>
      </c>
      <c r="O4" s="53" t="str">
        <f t="shared" ref="O4:O13" si="3">D4</f>
        <v>Huila</v>
      </c>
      <c r="P4" s="36">
        <f>VALUE(LEFT(M4,FIND(":",M4,1)-1))</f>
        <v>0</v>
      </c>
      <c r="Q4" s="36">
        <f>VALUE(LEFT(RIGHT(M4,LEN(M4)-FIND(":",M4,1)),1))</f>
        <v>1</v>
      </c>
      <c r="R4" s="36" t="str">
        <f>IF(C4=A$3,"Дома","В гостях")</f>
        <v>Дома</v>
      </c>
      <c r="S4" s="36" t="str">
        <f t="shared" ref="S4:S13" si="4">I4</f>
        <v>П</v>
      </c>
      <c r="T4" s="36">
        <f t="shared" ref="T4:T13" si="5">G4</f>
        <v>0</v>
      </c>
      <c r="U4" s="36">
        <f t="shared" ref="U4:U13" si="6">H4</f>
        <v>1</v>
      </c>
      <c r="V4" s="36">
        <v>1</v>
      </c>
      <c r="W4" s="36">
        <f>IF(S4="В",1,0)</f>
        <v>0</v>
      </c>
      <c r="X4" s="36">
        <f>IF(S4="Н",1,0)</f>
        <v>0</v>
      </c>
      <c r="Y4" s="36">
        <f>IF(S4="П",1,0)</f>
        <v>1</v>
      </c>
      <c r="Z4" s="36">
        <f>T4</f>
        <v>0</v>
      </c>
      <c r="AA4" s="36">
        <f>U4</f>
        <v>1</v>
      </c>
      <c r="AB4" s="36">
        <f>W4*3+X4</f>
        <v>0</v>
      </c>
      <c r="AC4" s="36">
        <f>IF(R4="Дома",1,0)</f>
        <v>1</v>
      </c>
      <c r="AD4" s="36">
        <f>IF(R4="Дома",IF(S4="В",1,0),0)</f>
        <v>0</v>
      </c>
      <c r="AE4" s="36">
        <f>IF(R4="Дома",IF(S4="Н",1,0),0)</f>
        <v>0</v>
      </c>
      <c r="AF4" s="36">
        <f>IF(R4="Дома",IF(S4="П",1,0),0)</f>
        <v>1</v>
      </c>
      <c r="AG4" s="36">
        <f>IF(R4="Дома",T4,0)</f>
        <v>0</v>
      </c>
      <c r="AH4" s="36">
        <f>IF(R4="Дома",U4,0)</f>
        <v>1</v>
      </c>
      <c r="AI4" s="36">
        <f>AD4*3+AE4</f>
        <v>0</v>
      </c>
      <c r="AJ4" s="36">
        <f>IF(R4&lt;&gt;"Дома",1,0)</f>
        <v>0</v>
      </c>
      <c r="AK4" s="36">
        <f>IF(R4&lt;&gt;"Дома",IF(S4="В",1,0),0)</f>
        <v>0</v>
      </c>
      <c r="AL4" s="36">
        <f>IF(R4&lt;&gt;"Дома",IF(S4="Н",1,0),0)</f>
        <v>0</v>
      </c>
      <c r="AM4" s="36">
        <f>IF(R4&lt;&gt;"Дома",IF(S4="П",1,0),0)</f>
        <v>0</v>
      </c>
      <c r="AN4" s="36">
        <f>IF(R4&lt;&gt;"Дома",T4,0)</f>
        <v>0</v>
      </c>
      <c r="AO4" s="36">
        <f>IF(R4&lt;&gt;"Дома",U4,0)</f>
        <v>0</v>
      </c>
      <c r="AP4" s="36">
        <f>AK4*3+AL4</f>
        <v>0</v>
      </c>
      <c r="AQ4" s="36">
        <f>IF(R4="Дома",IF(T4=0,1,0),0)</f>
        <v>1</v>
      </c>
      <c r="AR4" s="36">
        <f>IF(R4="Дома",IF(T4=1,1,0),0)</f>
        <v>0</v>
      </c>
      <c r="AS4" s="36">
        <f>IF(R4="Дома",IF(T4=2,1,0),0)</f>
        <v>0</v>
      </c>
      <c r="AT4" s="36">
        <f>IF(R4="Дома",IF(T4&gt;=3,1,0),0)</f>
        <v>0</v>
      </c>
      <c r="AU4" s="36">
        <f>IF(R4&lt;&gt;"Дома",IF(X4=0,1,0),0)</f>
        <v>0</v>
      </c>
      <c r="AV4" s="36">
        <f>IF(R4&lt;&gt;"Дома",IF(X4=1,1,0),0)</f>
        <v>0</v>
      </c>
      <c r="AW4" s="36">
        <f>IF(R4&lt;&gt;"Дома",IF(X4=2,1,0),0)</f>
        <v>0</v>
      </c>
      <c r="AX4" s="36">
        <f>IF(R4&lt;&gt;"Дома",IF(X4&gt;=3,1,0),0)</f>
        <v>0</v>
      </c>
      <c r="AY4" s="42" t="e">
        <f>V4/Z4</f>
        <v>#DIV/0!</v>
      </c>
      <c r="AZ4" s="42">
        <f>V4/AA4</f>
        <v>1</v>
      </c>
      <c r="BA4" s="42">
        <f>(AI4/IF(AC4&lt;1,1,AC4)+AP4/IF(AJ4&lt;1,1,AJ4)*1.5+AG4/IF(AC4&lt;1,1,AC4)+AN4/IF(AJ4&lt;1,1,AJ4)*1.5-AH4/IF(AC4&lt;1,1,AC4)*1.5-AO4/IF(AJ4&lt;1,1,AJ4))/15</f>
        <v>-0.1</v>
      </c>
      <c r="BB4" s="36">
        <f>IF(R4="Дома",T4+U4,"")</f>
        <v>1</v>
      </c>
    </row>
    <row r="5" spans="1:60" ht="15.75" customHeight="1" thickBot="1">
      <c r="A5" s="73" t="str">
        <f>Cтатистика!A3</f>
        <v>15.03.18</v>
      </c>
      <c r="B5" s="68" t="str">
        <f>Cтатистика!B3</f>
        <v>LA</v>
      </c>
      <c r="C5" s="68" t="str">
        <f>Cтатистика!C3</f>
        <v>Envigado</v>
      </c>
      <c r="D5" s="68" t="str">
        <f>Cтатистика!D3</f>
        <v>Santa Fe</v>
      </c>
      <c r="E5" s="74" t="str">
        <f>Cтатистика!E3</f>
        <v>0 : 3</v>
      </c>
      <c r="F5" s="60"/>
      <c r="G5" s="19">
        <f t="shared" ref="G5:G13" si="7">IF(R5="Дома",K5,L5)</f>
        <v>3</v>
      </c>
      <c r="H5" s="19">
        <f t="shared" ref="H5:H13" si="8">IF(R5="Дома",L5,K5)</f>
        <v>0</v>
      </c>
      <c r="I5" s="36" t="str">
        <f t="shared" ref="I5:I13" si="9">IF(R5="Дома",IF(K5&gt;L5,"В",IF(K5=L5,"Н","П")),IF(L5&gt;K5,"В",IF(K5=L5,"Н","П")))</f>
        <v>В</v>
      </c>
      <c r="J5" s="36" t="str">
        <f t="shared" si="0"/>
        <v>LA</v>
      </c>
      <c r="K5" s="36">
        <f t="shared" ref="K5:K13" si="10">VALUE(LEFT(M5,FIND(":",M5,1)-1))</f>
        <v>0</v>
      </c>
      <c r="L5" s="36">
        <f t="shared" ref="L5:L13" si="11">VALUE(LEFT(RIGHT(M5,LEN(M5)-FIND(":",M5,1)),1))</f>
        <v>3</v>
      </c>
      <c r="M5" s="19" t="str">
        <f t="shared" si="1"/>
        <v>0:3</v>
      </c>
      <c r="N5" s="53" t="str">
        <f t="shared" si="2"/>
        <v>Envigado</v>
      </c>
      <c r="O5" s="53" t="str">
        <f t="shared" si="3"/>
        <v>Santa Fe</v>
      </c>
      <c r="P5" s="36">
        <f t="shared" ref="P5:P13" si="12">VALUE(LEFT(M5,FIND(":",M5,1)-1))</f>
        <v>0</v>
      </c>
      <c r="Q5" s="36">
        <f t="shared" ref="Q5:Q13" si="13">VALUE(LEFT(RIGHT(M5,LEN(M5)-FIND(":",M5,1)),1))</f>
        <v>3</v>
      </c>
      <c r="R5" s="36" t="str">
        <f t="shared" ref="R5:R13" si="14">IF(C5=A$3,"Дома","В гостях")</f>
        <v>В гостях</v>
      </c>
      <c r="S5" s="36" t="str">
        <f t="shared" si="4"/>
        <v>В</v>
      </c>
      <c r="T5" s="36">
        <f t="shared" si="5"/>
        <v>3</v>
      </c>
      <c r="U5" s="36">
        <f t="shared" si="6"/>
        <v>0</v>
      </c>
      <c r="V5" s="39">
        <f t="shared" ref="V5:V13" si="15">V4+1</f>
        <v>2</v>
      </c>
      <c r="W5" s="39">
        <f>IF(S5="В",W4+1,W4+0)</f>
        <v>1</v>
      </c>
      <c r="X5" s="39">
        <f t="shared" ref="X5:X13" si="16">IF(S5="Н",X4+1,X4+0)</f>
        <v>0</v>
      </c>
      <c r="Y5" s="39">
        <f t="shared" ref="Y5:Y13" si="17">IF(S5="П",Y4+1,Y4+0)</f>
        <v>1</v>
      </c>
      <c r="Z5" s="39">
        <f t="shared" ref="Z5:AA13" si="18">T5+Z4</f>
        <v>3</v>
      </c>
      <c r="AA5" s="39">
        <f t="shared" si="18"/>
        <v>1</v>
      </c>
      <c r="AB5" s="39">
        <f t="shared" ref="AB5:AB13" si="19">W5*3+X5</f>
        <v>3</v>
      </c>
      <c r="AC5" s="39">
        <f t="shared" ref="AC5:AC13" si="20">IF(R5="Дома",AC4+1,AC4+0)</f>
        <v>1</v>
      </c>
      <c r="AD5" s="39">
        <f t="shared" ref="AD5:AD13" si="21">IF(R5="Дома",IF(S5="В",AD4+1,AD4+0),AD4+0)</f>
        <v>0</v>
      </c>
      <c r="AE5" s="39">
        <f t="shared" ref="AE5:AE13" si="22">IF(R5="Дома",IF(S5="Н",AE4+1,AE4+0),AE4+0)</f>
        <v>0</v>
      </c>
      <c r="AF5" s="39">
        <f t="shared" ref="AF5:AF13" si="23">IF(R5="Дома",IF(S5="П",AF4+1,AF4+0),AF4+0)</f>
        <v>1</v>
      </c>
      <c r="AG5" s="39">
        <f t="shared" ref="AG5:AG13" si="24">IF(R5="Дома",AG4+T5,AG4+0)</f>
        <v>0</v>
      </c>
      <c r="AH5" s="39">
        <f t="shared" ref="AH5:AH13" si="25">IF(R5="Дома",AH4+U5,AH4+0)</f>
        <v>1</v>
      </c>
      <c r="AI5" s="39">
        <f t="shared" ref="AI5:AI13" si="26">AD5*3+AE5</f>
        <v>0</v>
      </c>
      <c r="AJ5" s="39">
        <f>IF(R5&lt;&gt;"Дома",AJ4+1,AJ4+0)</f>
        <v>1</v>
      </c>
      <c r="AK5" s="39">
        <f t="shared" ref="AK5:AK13" si="27">IF(R5&lt;&gt;"Дома",IF(S5="В",AK4+1,AK4+0),AK4+0)</f>
        <v>1</v>
      </c>
      <c r="AL5" s="39">
        <f t="shared" ref="AL5:AL13" si="28">IF(R5&lt;&gt;"Дома",IF(S5="Н",AL4+1,AL4+0),AL4+0)</f>
        <v>0</v>
      </c>
      <c r="AM5" s="39">
        <f t="shared" ref="AM5:AM13" si="29">IF(R5&lt;&gt;"Дома",IF(S5="П",AM4+1,AM4+0),AM4+0)</f>
        <v>0</v>
      </c>
      <c r="AN5" s="39">
        <f t="shared" ref="AN5:AN13" si="30">IF(R5&lt;&gt;"Дома",AN4+T5,AN4+0)</f>
        <v>3</v>
      </c>
      <c r="AO5" s="39">
        <f t="shared" ref="AO5:AO13" si="31">IF(R5&lt;&gt;"Дома",AO4+U5,AO4+0)</f>
        <v>0</v>
      </c>
      <c r="AP5" s="39">
        <f t="shared" ref="AP5:AP13" si="32">AK5*3+AL5</f>
        <v>3</v>
      </c>
      <c r="AQ5" s="36">
        <f>IF(R5="Дома",IF(T5=0,AQ4+1,AQ4),AQ4)</f>
        <v>1</v>
      </c>
      <c r="AR5" s="36">
        <f t="shared" ref="AR5:AR13" si="33">IF(R5="Дома",IF(T5=1,AR4+1,AR4),AR4)</f>
        <v>0</v>
      </c>
      <c r="AS5" s="36">
        <f t="shared" ref="AS5:AS13" si="34">IF(R5="Дома",IF(T5=2,AS4+1,AS4),AS4)</f>
        <v>0</v>
      </c>
      <c r="AT5" s="36">
        <f t="shared" ref="AT5:AT13" si="35">IF(R5="Дома",IF(T5&gt;=3,AT4+1,AT4),AT4)</f>
        <v>0</v>
      </c>
      <c r="AU5" s="36">
        <f t="shared" ref="AU5:AU13" si="36">IF(R5&lt;&gt;"Дома",IF(T5=0,AU4+1,AU4),AU4)</f>
        <v>0</v>
      </c>
      <c r="AV5" s="36">
        <f t="shared" ref="AV5:AV13" si="37">IF(R5&lt;&gt;"Дома",IF(T5=1,AV4+1,AV4),AV4)</f>
        <v>0</v>
      </c>
      <c r="AW5" s="36">
        <f t="shared" ref="AW5:AW13" si="38">IF(R5&lt;&gt;"Дома",IF(T5=2,AW4+1,AW4),AW4)</f>
        <v>0</v>
      </c>
      <c r="AX5" s="36">
        <f t="shared" ref="AX5:AX13" si="39">IF(R5&lt;&gt;"Дома",IF(T5&gt;=3,AX4+1,AX4),AX4)</f>
        <v>1</v>
      </c>
      <c r="AY5" s="42">
        <f t="shared" ref="AY5:AY13" si="40">V5/Z5</f>
        <v>0.66666666666666663</v>
      </c>
      <c r="AZ5" s="42">
        <f t="shared" ref="AZ5:AZ13" si="41">V5/AA5</f>
        <v>2</v>
      </c>
      <c r="BA5" s="42">
        <f t="shared" ref="BA5:BA13" si="42">(AI5/IF(AC5&lt;1,1,AC5)+AP5/IF(AJ5&lt;1,1,AJ5)*1.5+AG5/IF(AC5&lt;1,1,AC5)+AN5/IF(AJ5&lt;1,1,AJ5)*1.5-AH5/IF(AC5&lt;1,1,AC5)*1.5-AO5/IF(AJ5&lt;1,1,AJ5))/15</f>
        <v>0.5</v>
      </c>
      <c r="BB5" s="36" t="str">
        <f t="shared" ref="BB5:BB13" si="43">IF(R5="Дома",T5+U5,"")</f>
        <v/>
      </c>
    </row>
    <row r="6" spans="1:60" ht="15.75" customHeight="1" thickBot="1">
      <c r="A6" s="73" t="str">
        <f>Cтатистика!A4</f>
        <v>09.03.18</v>
      </c>
      <c r="B6" s="68" t="str">
        <f>Cтатистика!B4</f>
        <v>LA</v>
      </c>
      <c r="C6" s="68" t="str">
        <f>Cтатистика!C4</f>
        <v>Santa Fe</v>
      </c>
      <c r="D6" s="68" t="str">
        <f>Cтатистика!D4</f>
        <v>Dep. Pasto</v>
      </c>
      <c r="E6" s="74" t="str">
        <f>Cтатистика!E4</f>
        <v>1 : 0</v>
      </c>
      <c r="F6" s="60"/>
      <c r="G6" s="19">
        <f t="shared" si="7"/>
        <v>1</v>
      </c>
      <c r="H6" s="19">
        <f t="shared" si="8"/>
        <v>0</v>
      </c>
      <c r="I6" s="36" t="str">
        <f t="shared" si="9"/>
        <v>В</v>
      </c>
      <c r="J6" s="36" t="str">
        <f t="shared" si="0"/>
        <v>LA</v>
      </c>
      <c r="K6" s="36">
        <f t="shared" si="10"/>
        <v>1</v>
      </c>
      <c r="L6" s="36">
        <f t="shared" si="11"/>
        <v>0</v>
      </c>
      <c r="M6" s="19" t="str">
        <f t="shared" si="1"/>
        <v>1:0</v>
      </c>
      <c r="N6" s="53" t="str">
        <f t="shared" si="2"/>
        <v>Santa Fe</v>
      </c>
      <c r="O6" s="53" t="str">
        <f t="shared" si="3"/>
        <v>Dep. Pasto</v>
      </c>
      <c r="P6" s="36">
        <f t="shared" si="12"/>
        <v>1</v>
      </c>
      <c r="Q6" s="36">
        <f t="shared" si="13"/>
        <v>0</v>
      </c>
      <c r="R6" s="36" t="str">
        <f t="shared" si="14"/>
        <v>Дома</v>
      </c>
      <c r="S6" s="36" t="str">
        <f t="shared" si="4"/>
        <v>В</v>
      </c>
      <c r="T6" s="36">
        <f t="shared" si="5"/>
        <v>1</v>
      </c>
      <c r="U6" s="36">
        <f t="shared" si="6"/>
        <v>0</v>
      </c>
      <c r="V6" s="39">
        <f t="shared" si="15"/>
        <v>3</v>
      </c>
      <c r="W6" s="39">
        <f t="shared" ref="W6:W13" si="44">IF(S6="В",W5+1,W5+0)</f>
        <v>2</v>
      </c>
      <c r="X6" s="39">
        <f t="shared" si="16"/>
        <v>0</v>
      </c>
      <c r="Y6" s="39">
        <f t="shared" si="17"/>
        <v>1</v>
      </c>
      <c r="Z6" s="39">
        <f t="shared" si="18"/>
        <v>4</v>
      </c>
      <c r="AA6" s="39">
        <f t="shared" si="18"/>
        <v>1</v>
      </c>
      <c r="AB6" s="39">
        <f t="shared" si="19"/>
        <v>6</v>
      </c>
      <c r="AC6" s="39">
        <f t="shared" si="20"/>
        <v>2</v>
      </c>
      <c r="AD6" s="39">
        <f t="shared" si="21"/>
        <v>1</v>
      </c>
      <c r="AE6" s="39">
        <f t="shared" si="22"/>
        <v>0</v>
      </c>
      <c r="AF6" s="39">
        <f t="shared" si="23"/>
        <v>1</v>
      </c>
      <c r="AG6" s="39">
        <f t="shared" si="24"/>
        <v>1</v>
      </c>
      <c r="AH6" s="39">
        <f t="shared" si="25"/>
        <v>1</v>
      </c>
      <c r="AI6" s="39">
        <f t="shared" si="26"/>
        <v>3</v>
      </c>
      <c r="AJ6" s="39">
        <f t="shared" ref="AJ6:AJ13" si="45">IF(R6&lt;&gt;"Дома",AJ5+1,AJ5+0)</f>
        <v>1</v>
      </c>
      <c r="AK6" s="39">
        <f t="shared" si="27"/>
        <v>1</v>
      </c>
      <c r="AL6" s="39">
        <f t="shared" si="28"/>
        <v>0</v>
      </c>
      <c r="AM6" s="39">
        <f t="shared" si="29"/>
        <v>0</v>
      </c>
      <c r="AN6" s="39">
        <f t="shared" si="30"/>
        <v>3</v>
      </c>
      <c r="AO6" s="39">
        <f t="shared" si="31"/>
        <v>0</v>
      </c>
      <c r="AP6" s="39">
        <f t="shared" si="32"/>
        <v>3</v>
      </c>
      <c r="AQ6" s="36">
        <f t="shared" ref="AQ6:AQ13" si="46">IF(R6="Дома",IF(T6=0,AQ5+1,AQ5),AQ5)</f>
        <v>1</v>
      </c>
      <c r="AR6" s="36">
        <f t="shared" si="33"/>
        <v>1</v>
      </c>
      <c r="AS6" s="36">
        <f t="shared" si="34"/>
        <v>0</v>
      </c>
      <c r="AT6" s="36">
        <f t="shared" si="35"/>
        <v>0</v>
      </c>
      <c r="AU6" s="36">
        <f t="shared" si="36"/>
        <v>0</v>
      </c>
      <c r="AV6" s="36">
        <f t="shared" si="37"/>
        <v>0</v>
      </c>
      <c r="AW6" s="36">
        <f t="shared" si="38"/>
        <v>0</v>
      </c>
      <c r="AX6" s="36">
        <f t="shared" si="39"/>
        <v>1</v>
      </c>
      <c r="AY6" s="42">
        <f t="shared" si="40"/>
        <v>0.75</v>
      </c>
      <c r="AZ6" s="42">
        <f t="shared" si="41"/>
        <v>3</v>
      </c>
      <c r="BA6" s="42">
        <f t="shared" si="42"/>
        <v>0.68333333333333335</v>
      </c>
      <c r="BB6" s="36">
        <f t="shared" si="43"/>
        <v>1</v>
      </c>
    </row>
    <row r="7" spans="1:60" ht="15.75" customHeight="1" thickBot="1">
      <c r="A7" s="73" t="str">
        <f>Cтатистика!A5</f>
        <v>05.03.18</v>
      </c>
      <c r="B7" s="68" t="str">
        <f>Cтатистика!B5</f>
        <v>LA</v>
      </c>
      <c r="C7" s="68" t="str">
        <f>Cтатистика!C5</f>
        <v>Bucaramanga</v>
      </c>
      <c r="D7" s="68" t="str">
        <f>Cтатистика!D5</f>
        <v>Santa Fe</v>
      </c>
      <c r="E7" s="74" t="str">
        <f>Cтатистика!E5</f>
        <v>1 : 0</v>
      </c>
      <c r="F7" s="60"/>
      <c r="G7" s="19">
        <f t="shared" si="7"/>
        <v>0</v>
      </c>
      <c r="H7" s="19">
        <f t="shared" si="8"/>
        <v>1</v>
      </c>
      <c r="I7" s="36" t="str">
        <f t="shared" si="9"/>
        <v>П</v>
      </c>
      <c r="J7" s="36" t="str">
        <f t="shared" si="0"/>
        <v>LA</v>
      </c>
      <c r="K7" s="36">
        <f t="shared" si="10"/>
        <v>1</v>
      </c>
      <c r="L7" s="36">
        <f t="shared" si="11"/>
        <v>0</v>
      </c>
      <c r="M7" s="19" t="str">
        <f t="shared" si="1"/>
        <v>1:0</v>
      </c>
      <c r="N7" s="53" t="str">
        <f t="shared" si="2"/>
        <v>Bucaramanga</v>
      </c>
      <c r="O7" s="53" t="str">
        <f t="shared" si="3"/>
        <v>Santa Fe</v>
      </c>
      <c r="P7" s="36">
        <f t="shared" si="12"/>
        <v>1</v>
      </c>
      <c r="Q7" s="36">
        <f t="shared" si="13"/>
        <v>0</v>
      </c>
      <c r="R7" s="36" t="str">
        <f t="shared" si="14"/>
        <v>В гостях</v>
      </c>
      <c r="S7" s="36" t="str">
        <f t="shared" si="4"/>
        <v>П</v>
      </c>
      <c r="T7" s="36">
        <f t="shared" si="5"/>
        <v>0</v>
      </c>
      <c r="U7" s="36">
        <f t="shared" si="6"/>
        <v>1</v>
      </c>
      <c r="V7" s="39">
        <f t="shared" si="15"/>
        <v>4</v>
      </c>
      <c r="W7" s="39">
        <f t="shared" si="44"/>
        <v>2</v>
      </c>
      <c r="X7" s="39">
        <f t="shared" si="16"/>
        <v>0</v>
      </c>
      <c r="Y7" s="39">
        <f t="shared" si="17"/>
        <v>2</v>
      </c>
      <c r="Z7" s="39">
        <f t="shared" si="18"/>
        <v>4</v>
      </c>
      <c r="AA7" s="39">
        <f t="shared" si="18"/>
        <v>2</v>
      </c>
      <c r="AB7" s="39">
        <f t="shared" si="19"/>
        <v>6</v>
      </c>
      <c r="AC7" s="39">
        <f t="shared" si="20"/>
        <v>2</v>
      </c>
      <c r="AD7" s="39">
        <f t="shared" si="21"/>
        <v>1</v>
      </c>
      <c r="AE7" s="39">
        <f t="shared" si="22"/>
        <v>0</v>
      </c>
      <c r="AF7" s="39">
        <f t="shared" si="23"/>
        <v>1</v>
      </c>
      <c r="AG7" s="39">
        <f t="shared" si="24"/>
        <v>1</v>
      </c>
      <c r="AH7" s="39">
        <f t="shared" si="25"/>
        <v>1</v>
      </c>
      <c r="AI7" s="39">
        <f t="shared" si="26"/>
        <v>3</v>
      </c>
      <c r="AJ7" s="39">
        <f t="shared" si="45"/>
        <v>2</v>
      </c>
      <c r="AK7" s="39">
        <f t="shared" si="27"/>
        <v>1</v>
      </c>
      <c r="AL7" s="39">
        <f t="shared" si="28"/>
        <v>0</v>
      </c>
      <c r="AM7" s="39">
        <f t="shared" si="29"/>
        <v>1</v>
      </c>
      <c r="AN7" s="39">
        <f t="shared" si="30"/>
        <v>3</v>
      </c>
      <c r="AO7" s="39">
        <f t="shared" si="31"/>
        <v>1</v>
      </c>
      <c r="AP7" s="39">
        <f t="shared" si="32"/>
        <v>3</v>
      </c>
      <c r="AQ7" s="36">
        <f t="shared" si="46"/>
        <v>1</v>
      </c>
      <c r="AR7" s="36">
        <f t="shared" si="33"/>
        <v>1</v>
      </c>
      <c r="AS7" s="36">
        <f t="shared" si="34"/>
        <v>0</v>
      </c>
      <c r="AT7" s="36">
        <f t="shared" si="35"/>
        <v>0</v>
      </c>
      <c r="AU7" s="36">
        <f t="shared" si="36"/>
        <v>1</v>
      </c>
      <c r="AV7" s="36">
        <f t="shared" si="37"/>
        <v>0</v>
      </c>
      <c r="AW7" s="36">
        <f t="shared" si="38"/>
        <v>0</v>
      </c>
      <c r="AX7" s="36">
        <f t="shared" si="39"/>
        <v>1</v>
      </c>
      <c r="AY7" s="42">
        <f t="shared" si="40"/>
        <v>1</v>
      </c>
      <c r="AZ7" s="42">
        <f t="shared" si="41"/>
        <v>2</v>
      </c>
      <c r="BA7" s="42">
        <f t="shared" si="42"/>
        <v>0.35</v>
      </c>
      <c r="BB7" s="36" t="str">
        <f t="shared" si="43"/>
        <v/>
      </c>
    </row>
    <row r="8" spans="1:60" ht="15.75" customHeight="1">
      <c r="A8" s="73" t="str">
        <f>Cтатистика!A6</f>
        <v>01.03.18</v>
      </c>
      <c r="B8" s="68" t="str">
        <f>Cтатистика!B6</f>
        <v>COP</v>
      </c>
      <c r="C8" s="68" t="str">
        <f>Cтатистика!C6</f>
        <v>Santa Fe</v>
      </c>
      <c r="D8" s="68" t="str">
        <f>Cтатистика!D6</f>
        <v>Emelec</v>
      </c>
      <c r="E8" s="74" t="str">
        <f>Cтатистика!E6</f>
        <v>1 : 1</v>
      </c>
      <c r="F8" s="60"/>
      <c r="G8" s="19">
        <f t="shared" si="7"/>
        <v>1</v>
      </c>
      <c r="H8" s="19">
        <f t="shared" si="8"/>
        <v>1</v>
      </c>
      <c r="I8" s="36" t="str">
        <f t="shared" si="9"/>
        <v>Н</v>
      </c>
      <c r="J8" s="36" t="str">
        <f t="shared" si="0"/>
        <v>COP</v>
      </c>
      <c r="K8" s="36">
        <f t="shared" si="10"/>
        <v>1</v>
      </c>
      <c r="L8" s="36">
        <f t="shared" si="11"/>
        <v>1</v>
      </c>
      <c r="M8" s="19" t="str">
        <f t="shared" si="1"/>
        <v>1:1</v>
      </c>
      <c r="N8" s="53" t="str">
        <f t="shared" si="2"/>
        <v>Santa Fe</v>
      </c>
      <c r="O8" s="53" t="str">
        <f t="shared" si="3"/>
        <v>Emelec</v>
      </c>
      <c r="P8" s="36">
        <f t="shared" si="12"/>
        <v>1</v>
      </c>
      <c r="Q8" s="36">
        <f t="shared" si="13"/>
        <v>1</v>
      </c>
      <c r="R8" s="36" t="str">
        <f t="shared" si="14"/>
        <v>Дома</v>
      </c>
      <c r="S8" s="36" t="str">
        <f t="shared" si="4"/>
        <v>Н</v>
      </c>
      <c r="T8" s="36">
        <f t="shared" si="5"/>
        <v>1</v>
      </c>
      <c r="U8" s="36">
        <f t="shared" si="6"/>
        <v>1</v>
      </c>
      <c r="V8" s="39">
        <f t="shared" si="15"/>
        <v>5</v>
      </c>
      <c r="W8" s="39">
        <f t="shared" si="44"/>
        <v>2</v>
      </c>
      <c r="X8" s="39">
        <f t="shared" si="16"/>
        <v>1</v>
      </c>
      <c r="Y8" s="39">
        <f t="shared" si="17"/>
        <v>2</v>
      </c>
      <c r="Z8" s="39">
        <f t="shared" si="18"/>
        <v>5</v>
      </c>
      <c r="AA8" s="39">
        <f t="shared" si="18"/>
        <v>3</v>
      </c>
      <c r="AB8" s="39">
        <f t="shared" si="19"/>
        <v>7</v>
      </c>
      <c r="AC8" s="39">
        <f t="shared" si="20"/>
        <v>3</v>
      </c>
      <c r="AD8" s="39">
        <f t="shared" si="21"/>
        <v>1</v>
      </c>
      <c r="AE8" s="39">
        <f t="shared" si="22"/>
        <v>1</v>
      </c>
      <c r="AF8" s="39">
        <f t="shared" si="23"/>
        <v>1</v>
      </c>
      <c r="AG8" s="39">
        <f t="shared" si="24"/>
        <v>2</v>
      </c>
      <c r="AH8" s="39">
        <f t="shared" si="25"/>
        <v>2</v>
      </c>
      <c r="AI8" s="39">
        <f t="shared" si="26"/>
        <v>4</v>
      </c>
      <c r="AJ8" s="39">
        <f t="shared" si="45"/>
        <v>2</v>
      </c>
      <c r="AK8" s="39">
        <f t="shared" si="27"/>
        <v>1</v>
      </c>
      <c r="AL8" s="39">
        <f t="shared" si="28"/>
        <v>0</v>
      </c>
      <c r="AM8" s="39">
        <f t="shared" si="29"/>
        <v>1</v>
      </c>
      <c r="AN8" s="39">
        <f>IF(R8&lt;&gt;"Дома",AN7+T8,AN7+0)</f>
        <v>3</v>
      </c>
      <c r="AO8" s="39">
        <f t="shared" si="31"/>
        <v>1</v>
      </c>
      <c r="AP8" s="39">
        <f t="shared" si="32"/>
        <v>3</v>
      </c>
      <c r="AQ8" s="36">
        <f t="shared" si="46"/>
        <v>1</v>
      </c>
      <c r="AR8" s="36">
        <f t="shared" si="33"/>
        <v>2</v>
      </c>
      <c r="AS8" s="36">
        <f t="shared" si="34"/>
        <v>0</v>
      </c>
      <c r="AT8" s="36">
        <f t="shared" si="35"/>
        <v>0</v>
      </c>
      <c r="AU8" s="36">
        <f t="shared" si="36"/>
        <v>1</v>
      </c>
      <c r="AV8" s="36">
        <f t="shared" si="37"/>
        <v>0</v>
      </c>
      <c r="AW8" s="36">
        <f t="shared" si="38"/>
        <v>0</v>
      </c>
      <c r="AX8" s="36">
        <f t="shared" si="39"/>
        <v>1</v>
      </c>
      <c r="AY8" s="42">
        <f t="shared" si="40"/>
        <v>1</v>
      </c>
      <c r="AZ8" s="42">
        <f t="shared" si="41"/>
        <v>1.6666666666666667</v>
      </c>
      <c r="BA8" s="42">
        <f t="shared" si="42"/>
        <v>0.33333333333333331</v>
      </c>
      <c r="BB8" s="36">
        <f t="shared" si="43"/>
        <v>2</v>
      </c>
    </row>
    <row r="9" spans="1:60" ht="15.75" customHeight="1">
      <c r="A9" s="75" t="str">
        <f>Cтатистика!A16</f>
        <v>27.01.18</v>
      </c>
      <c r="B9" s="71" t="str">
        <f>Cтатистика!B16</f>
        <v>CF</v>
      </c>
      <c r="C9" s="71" t="str">
        <f>Cтатистика!C16</f>
        <v>Santa Fe</v>
      </c>
      <c r="D9" s="71" t="str">
        <f>Cтатистика!D16</f>
        <v>America De Cali</v>
      </c>
      <c r="E9" s="76" t="str">
        <f>Cтатистика!E16</f>
        <v>0 : 1</v>
      </c>
      <c r="F9" s="60"/>
      <c r="G9" s="19">
        <f t="shared" si="7"/>
        <v>0</v>
      </c>
      <c r="H9" s="19">
        <f t="shared" si="8"/>
        <v>1</v>
      </c>
      <c r="I9" s="36" t="str">
        <f t="shared" si="9"/>
        <v>П</v>
      </c>
      <c r="J9" s="36" t="str">
        <f t="shared" si="0"/>
        <v>CF</v>
      </c>
      <c r="K9" s="36">
        <f t="shared" si="10"/>
        <v>0</v>
      </c>
      <c r="L9" s="36">
        <f t="shared" si="11"/>
        <v>1</v>
      </c>
      <c r="M9" s="19" t="str">
        <f t="shared" si="1"/>
        <v>0:1</v>
      </c>
      <c r="N9" s="53" t="str">
        <f t="shared" si="2"/>
        <v>Santa Fe</v>
      </c>
      <c r="O9" s="53" t="str">
        <f t="shared" si="3"/>
        <v>America De Cali</v>
      </c>
      <c r="P9" s="36">
        <f t="shared" si="12"/>
        <v>0</v>
      </c>
      <c r="Q9" s="36">
        <f t="shared" si="13"/>
        <v>1</v>
      </c>
      <c r="R9" s="36" t="str">
        <f t="shared" si="14"/>
        <v>Дома</v>
      </c>
      <c r="S9" s="36" t="str">
        <f t="shared" si="4"/>
        <v>П</v>
      </c>
      <c r="T9" s="36">
        <f t="shared" si="5"/>
        <v>0</v>
      </c>
      <c r="U9" s="36">
        <f t="shared" si="6"/>
        <v>1</v>
      </c>
      <c r="V9" s="39">
        <f t="shared" si="15"/>
        <v>6</v>
      </c>
      <c r="W9" s="39">
        <f t="shared" si="44"/>
        <v>2</v>
      </c>
      <c r="X9" s="39">
        <f t="shared" si="16"/>
        <v>1</v>
      </c>
      <c r="Y9" s="39">
        <f t="shared" si="17"/>
        <v>3</v>
      </c>
      <c r="Z9" s="39">
        <f t="shared" si="18"/>
        <v>5</v>
      </c>
      <c r="AA9" s="39">
        <f t="shared" si="18"/>
        <v>4</v>
      </c>
      <c r="AB9" s="39">
        <f t="shared" si="19"/>
        <v>7</v>
      </c>
      <c r="AC9" s="39">
        <f t="shared" si="20"/>
        <v>4</v>
      </c>
      <c r="AD9" s="39">
        <f t="shared" si="21"/>
        <v>1</v>
      </c>
      <c r="AE9" s="39">
        <f t="shared" si="22"/>
        <v>1</v>
      </c>
      <c r="AF9" s="39">
        <f t="shared" si="23"/>
        <v>2</v>
      </c>
      <c r="AG9" s="39">
        <f t="shared" si="24"/>
        <v>2</v>
      </c>
      <c r="AH9" s="39">
        <f t="shared" si="25"/>
        <v>3</v>
      </c>
      <c r="AI9" s="39">
        <f t="shared" si="26"/>
        <v>4</v>
      </c>
      <c r="AJ9" s="39">
        <f t="shared" si="45"/>
        <v>2</v>
      </c>
      <c r="AK9" s="39">
        <f t="shared" si="27"/>
        <v>1</v>
      </c>
      <c r="AL9" s="39">
        <f t="shared" si="28"/>
        <v>0</v>
      </c>
      <c r="AM9" s="39">
        <f t="shared" si="29"/>
        <v>1</v>
      </c>
      <c r="AN9" s="39">
        <f t="shared" si="30"/>
        <v>3</v>
      </c>
      <c r="AO9" s="39">
        <f t="shared" si="31"/>
        <v>1</v>
      </c>
      <c r="AP9" s="39">
        <f t="shared" si="32"/>
        <v>3</v>
      </c>
      <c r="AQ9" s="36">
        <f t="shared" si="46"/>
        <v>2</v>
      </c>
      <c r="AR9" s="36">
        <f t="shared" si="33"/>
        <v>2</v>
      </c>
      <c r="AS9" s="36">
        <f t="shared" si="34"/>
        <v>0</v>
      </c>
      <c r="AT9" s="36">
        <f t="shared" si="35"/>
        <v>0</v>
      </c>
      <c r="AU9" s="36">
        <f t="shared" si="36"/>
        <v>1</v>
      </c>
      <c r="AV9" s="36">
        <f t="shared" si="37"/>
        <v>0</v>
      </c>
      <c r="AW9" s="36">
        <f t="shared" si="38"/>
        <v>0</v>
      </c>
      <c r="AX9" s="36">
        <f t="shared" si="39"/>
        <v>1</v>
      </c>
      <c r="AY9" s="42">
        <f t="shared" si="40"/>
        <v>1.2</v>
      </c>
      <c r="AZ9" s="42">
        <f t="shared" si="41"/>
        <v>1.5</v>
      </c>
      <c r="BA9" s="42">
        <f t="shared" si="42"/>
        <v>0.29166666666666669</v>
      </c>
      <c r="BB9" s="36">
        <f t="shared" si="43"/>
        <v>1</v>
      </c>
    </row>
    <row r="10" spans="1:60" ht="15.75" customHeight="1">
      <c r="A10" s="75" t="str">
        <f>Cтатистика!A17</f>
        <v>05.11.17</v>
      </c>
      <c r="B10" s="71" t="str">
        <f>Cтатистика!B17</f>
        <v>LA</v>
      </c>
      <c r="C10" s="71" t="str">
        <f>Cтатистика!C17</f>
        <v>Santa Fe</v>
      </c>
      <c r="D10" s="71" t="str">
        <f>Cтатистика!D17</f>
        <v>America De Cali</v>
      </c>
      <c r="E10" s="76" t="str">
        <f>Cтатистика!E17</f>
        <v>0 : 0</v>
      </c>
      <c r="F10" s="60"/>
      <c r="G10" s="19">
        <f t="shared" si="7"/>
        <v>0</v>
      </c>
      <c r="H10" s="19">
        <f t="shared" si="8"/>
        <v>0</v>
      </c>
      <c r="I10" s="36" t="str">
        <f t="shared" si="9"/>
        <v>Н</v>
      </c>
      <c r="J10" s="36" t="str">
        <f t="shared" si="0"/>
        <v>LA</v>
      </c>
      <c r="K10" s="36">
        <f t="shared" si="10"/>
        <v>0</v>
      </c>
      <c r="L10" s="36">
        <f t="shared" si="11"/>
        <v>0</v>
      </c>
      <c r="M10" s="19" t="str">
        <f t="shared" si="1"/>
        <v>0:0</v>
      </c>
      <c r="N10" s="53" t="str">
        <f t="shared" si="2"/>
        <v>Santa Fe</v>
      </c>
      <c r="O10" s="53" t="str">
        <f t="shared" si="3"/>
        <v>America De Cali</v>
      </c>
      <c r="P10" s="36">
        <f t="shared" si="12"/>
        <v>0</v>
      </c>
      <c r="Q10" s="36">
        <f t="shared" si="13"/>
        <v>0</v>
      </c>
      <c r="R10" s="36" t="str">
        <f t="shared" si="14"/>
        <v>Дома</v>
      </c>
      <c r="S10" s="36" t="str">
        <f t="shared" si="4"/>
        <v>Н</v>
      </c>
      <c r="T10" s="36">
        <f t="shared" si="5"/>
        <v>0</v>
      </c>
      <c r="U10" s="36">
        <f t="shared" si="6"/>
        <v>0</v>
      </c>
      <c r="V10" s="39">
        <f t="shared" si="15"/>
        <v>7</v>
      </c>
      <c r="W10" s="39">
        <f t="shared" si="44"/>
        <v>2</v>
      </c>
      <c r="X10" s="39">
        <f t="shared" si="16"/>
        <v>2</v>
      </c>
      <c r="Y10" s="39">
        <f t="shared" si="17"/>
        <v>3</v>
      </c>
      <c r="Z10" s="39">
        <f t="shared" si="18"/>
        <v>5</v>
      </c>
      <c r="AA10" s="39">
        <f t="shared" si="18"/>
        <v>4</v>
      </c>
      <c r="AB10" s="39">
        <f t="shared" si="19"/>
        <v>8</v>
      </c>
      <c r="AC10" s="39">
        <f t="shared" si="20"/>
        <v>5</v>
      </c>
      <c r="AD10" s="39">
        <f t="shared" si="21"/>
        <v>1</v>
      </c>
      <c r="AE10" s="39">
        <f t="shared" si="22"/>
        <v>2</v>
      </c>
      <c r="AF10" s="39">
        <f t="shared" si="23"/>
        <v>2</v>
      </c>
      <c r="AG10" s="39">
        <f t="shared" si="24"/>
        <v>2</v>
      </c>
      <c r="AH10" s="39">
        <f t="shared" si="25"/>
        <v>3</v>
      </c>
      <c r="AI10" s="39">
        <f t="shared" si="26"/>
        <v>5</v>
      </c>
      <c r="AJ10" s="39">
        <f t="shared" si="45"/>
        <v>2</v>
      </c>
      <c r="AK10" s="39">
        <f t="shared" si="27"/>
        <v>1</v>
      </c>
      <c r="AL10" s="39">
        <f t="shared" si="28"/>
        <v>0</v>
      </c>
      <c r="AM10" s="39">
        <f t="shared" si="29"/>
        <v>1</v>
      </c>
      <c r="AN10" s="39">
        <f t="shared" si="30"/>
        <v>3</v>
      </c>
      <c r="AO10" s="39">
        <f t="shared" si="31"/>
        <v>1</v>
      </c>
      <c r="AP10" s="39">
        <f t="shared" si="32"/>
        <v>3</v>
      </c>
      <c r="AQ10" s="36">
        <f t="shared" si="46"/>
        <v>3</v>
      </c>
      <c r="AR10" s="36">
        <f t="shared" si="33"/>
        <v>2</v>
      </c>
      <c r="AS10" s="36">
        <f t="shared" si="34"/>
        <v>0</v>
      </c>
      <c r="AT10" s="36">
        <f t="shared" si="35"/>
        <v>0</v>
      </c>
      <c r="AU10" s="36">
        <f t="shared" si="36"/>
        <v>1</v>
      </c>
      <c r="AV10" s="36">
        <f t="shared" si="37"/>
        <v>0</v>
      </c>
      <c r="AW10" s="36">
        <f t="shared" si="38"/>
        <v>0</v>
      </c>
      <c r="AX10" s="36">
        <f t="shared" si="39"/>
        <v>1</v>
      </c>
      <c r="AY10" s="42">
        <f t="shared" si="40"/>
        <v>1.4</v>
      </c>
      <c r="AZ10" s="42">
        <f t="shared" si="41"/>
        <v>1.75</v>
      </c>
      <c r="BA10" s="42">
        <f t="shared" si="42"/>
        <v>0.3</v>
      </c>
      <c r="BB10" s="36">
        <f t="shared" si="43"/>
        <v>0</v>
      </c>
    </row>
    <row r="11" spans="1:60" ht="15.75" customHeight="1">
      <c r="A11" s="75" t="str">
        <f>Cтатистика!A18</f>
        <v>28.04.17</v>
      </c>
      <c r="B11" s="71" t="str">
        <f>Cтатистика!B18</f>
        <v>LA</v>
      </c>
      <c r="C11" s="71" t="str">
        <f>Cтатистика!C18</f>
        <v>America De Cali</v>
      </c>
      <c r="D11" s="71" t="str">
        <f>Cтатистика!D18</f>
        <v>Santa Fe</v>
      </c>
      <c r="E11" s="76" t="str">
        <f>Cтатистика!E18</f>
        <v>0 : 1</v>
      </c>
      <c r="F11" s="60"/>
      <c r="G11" s="19">
        <f t="shared" si="7"/>
        <v>1</v>
      </c>
      <c r="H11" s="19">
        <f t="shared" si="8"/>
        <v>0</v>
      </c>
      <c r="I11" s="36" t="str">
        <f t="shared" si="9"/>
        <v>В</v>
      </c>
      <c r="J11" s="36" t="str">
        <f t="shared" si="0"/>
        <v>LA</v>
      </c>
      <c r="K11" s="36">
        <f t="shared" si="10"/>
        <v>0</v>
      </c>
      <c r="L11" s="36">
        <f t="shared" si="11"/>
        <v>1</v>
      </c>
      <c r="M11" s="19" t="str">
        <f t="shared" si="1"/>
        <v>0:1</v>
      </c>
      <c r="N11" s="53" t="str">
        <f t="shared" si="2"/>
        <v>America De Cali</v>
      </c>
      <c r="O11" s="53" t="str">
        <f t="shared" si="3"/>
        <v>Santa Fe</v>
      </c>
      <c r="P11" s="36">
        <f t="shared" si="12"/>
        <v>0</v>
      </c>
      <c r="Q11" s="36">
        <f t="shared" si="13"/>
        <v>1</v>
      </c>
      <c r="R11" s="36" t="str">
        <f t="shared" si="14"/>
        <v>В гостях</v>
      </c>
      <c r="S11" s="36" t="str">
        <f t="shared" si="4"/>
        <v>В</v>
      </c>
      <c r="T11" s="36">
        <f t="shared" si="5"/>
        <v>1</v>
      </c>
      <c r="U11" s="36">
        <f t="shared" si="6"/>
        <v>0</v>
      </c>
      <c r="V11" s="39">
        <f t="shared" si="15"/>
        <v>8</v>
      </c>
      <c r="W11" s="39">
        <f t="shared" si="44"/>
        <v>3</v>
      </c>
      <c r="X11" s="39">
        <f t="shared" si="16"/>
        <v>2</v>
      </c>
      <c r="Y11" s="39">
        <f t="shared" si="17"/>
        <v>3</v>
      </c>
      <c r="Z11" s="39">
        <f t="shared" si="18"/>
        <v>6</v>
      </c>
      <c r="AA11" s="39">
        <f t="shared" si="18"/>
        <v>4</v>
      </c>
      <c r="AB11" s="39">
        <f t="shared" si="19"/>
        <v>11</v>
      </c>
      <c r="AC11" s="39">
        <f t="shared" si="20"/>
        <v>5</v>
      </c>
      <c r="AD11" s="39">
        <f t="shared" si="21"/>
        <v>1</v>
      </c>
      <c r="AE11" s="39">
        <f t="shared" si="22"/>
        <v>2</v>
      </c>
      <c r="AF11" s="39">
        <f t="shared" si="23"/>
        <v>2</v>
      </c>
      <c r="AG11" s="39">
        <f>IF(R11="Дома",AG10+T11,AG10+0)</f>
        <v>2</v>
      </c>
      <c r="AH11" s="39">
        <f t="shared" si="25"/>
        <v>3</v>
      </c>
      <c r="AI11" s="39">
        <f t="shared" si="26"/>
        <v>5</v>
      </c>
      <c r="AJ11" s="39">
        <f t="shared" si="45"/>
        <v>3</v>
      </c>
      <c r="AK11" s="39">
        <f t="shared" si="27"/>
        <v>2</v>
      </c>
      <c r="AL11" s="39">
        <f t="shared" si="28"/>
        <v>0</v>
      </c>
      <c r="AM11" s="39">
        <f t="shared" si="29"/>
        <v>1</v>
      </c>
      <c r="AN11" s="39">
        <f t="shared" si="30"/>
        <v>4</v>
      </c>
      <c r="AO11" s="39">
        <f t="shared" si="31"/>
        <v>1</v>
      </c>
      <c r="AP11" s="39">
        <f t="shared" si="32"/>
        <v>6</v>
      </c>
      <c r="AQ11" s="36">
        <f t="shared" si="46"/>
        <v>3</v>
      </c>
      <c r="AR11" s="36">
        <f t="shared" si="33"/>
        <v>2</v>
      </c>
      <c r="AS11" s="36">
        <f t="shared" si="34"/>
        <v>0</v>
      </c>
      <c r="AT11" s="36">
        <f t="shared" si="35"/>
        <v>0</v>
      </c>
      <c r="AU11" s="36">
        <f t="shared" si="36"/>
        <v>1</v>
      </c>
      <c r="AV11" s="36">
        <f t="shared" si="37"/>
        <v>1</v>
      </c>
      <c r="AW11" s="36">
        <f t="shared" si="38"/>
        <v>0</v>
      </c>
      <c r="AX11" s="36">
        <f t="shared" si="39"/>
        <v>1</v>
      </c>
      <c r="AY11" s="42">
        <f t="shared" si="40"/>
        <v>1.3333333333333333</v>
      </c>
      <c r="AZ11" s="42">
        <f t="shared" si="41"/>
        <v>2</v>
      </c>
      <c r="BA11" s="42">
        <f t="shared" si="42"/>
        <v>0.34444444444444444</v>
      </c>
      <c r="BB11" s="36" t="str">
        <f t="shared" si="43"/>
        <v/>
      </c>
    </row>
    <row r="12" spans="1:60" ht="15.75" customHeight="1">
      <c r="A12" s="75" t="str">
        <f>Cтатистика!A19</f>
        <v>13.10.11</v>
      </c>
      <c r="B12" s="71" t="str">
        <f>Cтатистика!B19</f>
        <v>LA</v>
      </c>
      <c r="C12" s="71" t="str">
        <f>Cтатистика!C19</f>
        <v>Santa Fe</v>
      </c>
      <c r="D12" s="71" t="str">
        <f>Cтатистика!D19</f>
        <v>America De Cali</v>
      </c>
      <c r="E12" s="76" t="str">
        <f>Cтатистика!E19</f>
        <v>0 : 1</v>
      </c>
      <c r="F12" s="60"/>
      <c r="G12" s="19">
        <f t="shared" si="7"/>
        <v>0</v>
      </c>
      <c r="H12" s="19">
        <f t="shared" si="8"/>
        <v>1</v>
      </c>
      <c r="I12" s="36" t="str">
        <f t="shared" si="9"/>
        <v>П</v>
      </c>
      <c r="J12" s="36" t="str">
        <f t="shared" si="0"/>
        <v>LA</v>
      </c>
      <c r="K12" s="36">
        <f t="shared" si="10"/>
        <v>0</v>
      </c>
      <c r="L12" s="36">
        <f t="shared" si="11"/>
        <v>1</v>
      </c>
      <c r="M12" s="19" t="str">
        <f t="shared" si="1"/>
        <v>0:1</v>
      </c>
      <c r="N12" s="53" t="str">
        <f t="shared" si="2"/>
        <v>Santa Fe</v>
      </c>
      <c r="O12" s="53" t="str">
        <f t="shared" si="3"/>
        <v>America De Cali</v>
      </c>
      <c r="P12" s="36">
        <f t="shared" si="12"/>
        <v>0</v>
      </c>
      <c r="Q12" s="36">
        <f t="shared" si="13"/>
        <v>1</v>
      </c>
      <c r="R12" s="36" t="str">
        <f t="shared" si="14"/>
        <v>Дома</v>
      </c>
      <c r="S12" s="36" t="str">
        <f t="shared" si="4"/>
        <v>П</v>
      </c>
      <c r="T12" s="36">
        <f t="shared" si="5"/>
        <v>0</v>
      </c>
      <c r="U12" s="36">
        <f t="shared" si="6"/>
        <v>1</v>
      </c>
      <c r="V12" s="39">
        <f t="shared" si="15"/>
        <v>9</v>
      </c>
      <c r="W12" s="39">
        <f t="shared" si="44"/>
        <v>3</v>
      </c>
      <c r="X12" s="39">
        <f t="shared" si="16"/>
        <v>2</v>
      </c>
      <c r="Y12" s="39">
        <f t="shared" si="17"/>
        <v>4</v>
      </c>
      <c r="Z12" s="39">
        <f t="shared" si="18"/>
        <v>6</v>
      </c>
      <c r="AA12" s="39">
        <f t="shared" si="18"/>
        <v>5</v>
      </c>
      <c r="AB12" s="39">
        <f t="shared" si="19"/>
        <v>11</v>
      </c>
      <c r="AC12" s="39">
        <f t="shared" si="20"/>
        <v>6</v>
      </c>
      <c r="AD12" s="39">
        <f t="shared" si="21"/>
        <v>1</v>
      </c>
      <c r="AE12" s="39">
        <f t="shared" si="22"/>
        <v>2</v>
      </c>
      <c r="AF12" s="39">
        <f t="shared" si="23"/>
        <v>3</v>
      </c>
      <c r="AG12" s="39">
        <f t="shared" si="24"/>
        <v>2</v>
      </c>
      <c r="AH12" s="39">
        <f t="shared" si="25"/>
        <v>4</v>
      </c>
      <c r="AI12" s="39">
        <f t="shared" si="26"/>
        <v>5</v>
      </c>
      <c r="AJ12" s="39">
        <f t="shared" si="45"/>
        <v>3</v>
      </c>
      <c r="AK12" s="39">
        <f t="shared" si="27"/>
        <v>2</v>
      </c>
      <c r="AL12" s="39">
        <f t="shared" si="28"/>
        <v>0</v>
      </c>
      <c r="AM12" s="39">
        <f t="shared" si="29"/>
        <v>1</v>
      </c>
      <c r="AN12" s="39">
        <f t="shared" si="30"/>
        <v>4</v>
      </c>
      <c r="AO12" s="39">
        <f t="shared" si="31"/>
        <v>1</v>
      </c>
      <c r="AP12" s="39">
        <f t="shared" si="32"/>
        <v>6</v>
      </c>
      <c r="AQ12" s="36">
        <f t="shared" si="46"/>
        <v>4</v>
      </c>
      <c r="AR12" s="36">
        <f t="shared" si="33"/>
        <v>2</v>
      </c>
      <c r="AS12" s="36">
        <f t="shared" si="34"/>
        <v>0</v>
      </c>
      <c r="AT12" s="36">
        <f t="shared" si="35"/>
        <v>0</v>
      </c>
      <c r="AU12" s="36">
        <f t="shared" si="36"/>
        <v>1</v>
      </c>
      <c r="AV12" s="36">
        <f t="shared" si="37"/>
        <v>1</v>
      </c>
      <c r="AW12" s="36">
        <f t="shared" si="38"/>
        <v>0</v>
      </c>
      <c r="AX12" s="36">
        <f t="shared" si="39"/>
        <v>1</v>
      </c>
      <c r="AY12" s="42">
        <f t="shared" si="40"/>
        <v>1.5</v>
      </c>
      <c r="AZ12" s="42">
        <f t="shared" si="41"/>
        <v>1.8</v>
      </c>
      <c r="BA12" s="42">
        <f t="shared" si="42"/>
        <v>0.32222222222222224</v>
      </c>
      <c r="BB12" s="36">
        <f t="shared" si="43"/>
        <v>1</v>
      </c>
    </row>
    <row r="13" spans="1:60" ht="15.75" customHeight="1" thickBot="1">
      <c r="A13" s="77" t="str">
        <f>Cтатистика!A20</f>
        <v>20.03.11</v>
      </c>
      <c r="B13" s="78" t="str">
        <f>Cтатистика!B20</f>
        <v>LA</v>
      </c>
      <c r="C13" s="78" t="str">
        <f>Cтатистика!C20</f>
        <v>America De Cali</v>
      </c>
      <c r="D13" s="78" t="str">
        <f>Cтатистика!D20</f>
        <v>Santa Fe</v>
      </c>
      <c r="E13" s="79" t="str">
        <f>Cтатистика!E20</f>
        <v>2 : 0</v>
      </c>
      <c r="F13" s="60"/>
      <c r="G13" s="19">
        <f t="shared" si="7"/>
        <v>0</v>
      </c>
      <c r="H13" s="19">
        <f t="shared" si="8"/>
        <v>2</v>
      </c>
      <c r="I13" s="36" t="str">
        <f t="shared" si="9"/>
        <v>П</v>
      </c>
      <c r="J13" s="36" t="str">
        <f t="shared" si="0"/>
        <v>LA</v>
      </c>
      <c r="K13" s="36">
        <f t="shared" si="10"/>
        <v>2</v>
      </c>
      <c r="L13" s="36">
        <f t="shared" si="11"/>
        <v>0</v>
      </c>
      <c r="M13" s="19" t="str">
        <f t="shared" si="1"/>
        <v>2:0</v>
      </c>
      <c r="N13" s="53" t="str">
        <f t="shared" si="2"/>
        <v>America De Cali</v>
      </c>
      <c r="O13" s="53" t="str">
        <f t="shared" si="3"/>
        <v>Santa Fe</v>
      </c>
      <c r="P13" s="36">
        <f t="shared" si="12"/>
        <v>2</v>
      </c>
      <c r="Q13" s="36">
        <f t="shared" si="13"/>
        <v>0</v>
      </c>
      <c r="R13" s="36" t="str">
        <f t="shared" si="14"/>
        <v>В гостях</v>
      </c>
      <c r="S13" s="36" t="str">
        <f t="shared" si="4"/>
        <v>П</v>
      </c>
      <c r="T13" s="36">
        <f t="shared" si="5"/>
        <v>0</v>
      </c>
      <c r="U13" s="36">
        <f t="shared" si="6"/>
        <v>2</v>
      </c>
      <c r="V13" s="39">
        <f t="shared" si="15"/>
        <v>10</v>
      </c>
      <c r="W13" s="39">
        <f t="shared" si="44"/>
        <v>3</v>
      </c>
      <c r="X13" s="39">
        <f t="shared" si="16"/>
        <v>2</v>
      </c>
      <c r="Y13" s="39">
        <f t="shared" si="17"/>
        <v>5</v>
      </c>
      <c r="Z13" s="39">
        <f t="shared" si="18"/>
        <v>6</v>
      </c>
      <c r="AA13" s="39">
        <f t="shared" si="18"/>
        <v>7</v>
      </c>
      <c r="AB13" s="39">
        <f t="shared" si="19"/>
        <v>11</v>
      </c>
      <c r="AC13" s="39">
        <f t="shared" si="20"/>
        <v>6</v>
      </c>
      <c r="AD13" s="39">
        <f t="shared" si="21"/>
        <v>1</v>
      </c>
      <c r="AE13" s="39">
        <f t="shared" si="22"/>
        <v>2</v>
      </c>
      <c r="AF13" s="39">
        <f t="shared" si="23"/>
        <v>3</v>
      </c>
      <c r="AG13" s="39">
        <f t="shared" si="24"/>
        <v>2</v>
      </c>
      <c r="AH13" s="39">
        <f t="shared" si="25"/>
        <v>4</v>
      </c>
      <c r="AI13" s="39">
        <f t="shared" si="26"/>
        <v>5</v>
      </c>
      <c r="AJ13" s="39">
        <f t="shared" si="45"/>
        <v>4</v>
      </c>
      <c r="AK13" s="39">
        <f t="shared" si="27"/>
        <v>2</v>
      </c>
      <c r="AL13" s="39">
        <f t="shared" si="28"/>
        <v>0</v>
      </c>
      <c r="AM13" s="39">
        <f t="shared" si="29"/>
        <v>2</v>
      </c>
      <c r="AN13" s="39">
        <f t="shared" si="30"/>
        <v>4</v>
      </c>
      <c r="AO13" s="39">
        <f t="shared" si="31"/>
        <v>3</v>
      </c>
      <c r="AP13" s="39">
        <f t="shared" si="32"/>
        <v>6</v>
      </c>
      <c r="AQ13" s="36">
        <f t="shared" si="46"/>
        <v>4</v>
      </c>
      <c r="AR13" s="36">
        <f t="shared" si="33"/>
        <v>2</v>
      </c>
      <c r="AS13" s="36">
        <f t="shared" si="34"/>
        <v>0</v>
      </c>
      <c r="AT13" s="36">
        <f t="shared" si="35"/>
        <v>0</v>
      </c>
      <c r="AU13" s="36">
        <f t="shared" si="36"/>
        <v>2</v>
      </c>
      <c r="AV13" s="36">
        <f t="shared" si="37"/>
        <v>1</v>
      </c>
      <c r="AW13" s="36">
        <f t="shared" si="38"/>
        <v>0</v>
      </c>
      <c r="AX13" s="36">
        <f t="shared" si="39"/>
        <v>1</v>
      </c>
      <c r="AY13" s="42">
        <f t="shared" si="40"/>
        <v>1.6666666666666667</v>
      </c>
      <c r="AZ13" s="42">
        <f t="shared" si="41"/>
        <v>1.4285714285714286</v>
      </c>
      <c r="BA13" s="42">
        <f t="shared" si="42"/>
        <v>0.21111111111111114</v>
      </c>
      <c r="BB13" s="36" t="str">
        <f t="shared" si="43"/>
        <v/>
      </c>
    </row>
    <row r="14" spans="1:60" s="14" customFormat="1" ht="15.75" hidden="1" customHeight="1" outlineLevel="1">
      <c r="A14" s="61">
        <v>42065</v>
      </c>
      <c r="B14" s="62" t="s">
        <v>162</v>
      </c>
      <c r="C14" s="62" t="s">
        <v>165</v>
      </c>
      <c r="D14" s="62" t="s">
        <v>163</v>
      </c>
      <c r="E14" s="63" t="s">
        <v>160</v>
      </c>
      <c r="F14" s="62"/>
      <c r="G14" s="43">
        <v>1</v>
      </c>
      <c r="H14" s="44" t="str">
        <f>IF(S4="В",IF(T4-U4&gt;1.5,"EW","W"),"ЛОЛ")</f>
        <v>ЛОЛ</v>
      </c>
      <c r="I14" s="44" t="str">
        <f>IF(H14="ЛОЛ",J14,H14)</f>
        <v>L</v>
      </c>
      <c r="J14" s="45" t="str">
        <f>IF(S4="П",IF(((T4-U4)*(-1))&lt;1.5,"L","HL"),"D")</f>
        <v>L</v>
      </c>
      <c r="K14" s="36"/>
      <c r="L14" s="36"/>
      <c r="M14" s="19"/>
      <c r="N14" s="53"/>
      <c r="O14" s="53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42"/>
      <c r="AZ14" s="42"/>
      <c r="BA14" s="42"/>
      <c r="BB14" s="36"/>
      <c r="BC14" s="37"/>
      <c r="BD14" s="31"/>
      <c r="BE14" s="31"/>
      <c r="BF14" s="31"/>
      <c r="BG14" s="31"/>
      <c r="BH14" s="31"/>
    </row>
    <row r="15" spans="1:60" s="14" customFormat="1" ht="15.75" hidden="1" customHeight="1" outlineLevel="1">
      <c r="A15" s="61">
        <v>42064</v>
      </c>
      <c r="B15" s="62" t="s">
        <v>140</v>
      </c>
      <c r="C15" s="62" t="s">
        <v>159</v>
      </c>
      <c r="D15" s="62" t="s">
        <v>157</v>
      </c>
      <c r="E15" s="63" t="s">
        <v>158</v>
      </c>
      <c r="F15" s="62"/>
      <c r="G15" s="46">
        <v>2</v>
      </c>
      <c r="H15" s="35" t="str">
        <f>IF(S5="В",IF(T5-U5&gt;1.5,"EW","W"),"ЛОЛ")</f>
        <v>EW</v>
      </c>
      <c r="I15" s="35" t="str">
        <f t="shared" ref="I15:I18" si="47">IF(H15="ЛОЛ",J15,H15)</f>
        <v>EW</v>
      </c>
      <c r="J15" s="47" t="str">
        <f>IF(S5="П",IF(((T5-U5)*(-1))&lt;1.5,"L","HL"),"D")</f>
        <v>D</v>
      </c>
      <c r="K15" s="36"/>
      <c r="L15" s="36"/>
      <c r="M15" s="19"/>
      <c r="N15" s="53"/>
      <c r="O15" s="53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42"/>
      <c r="AZ15" s="42"/>
      <c r="BA15" s="42"/>
      <c r="BB15" s="36"/>
      <c r="BC15" s="36"/>
      <c r="BD15" s="31"/>
      <c r="BE15" s="31"/>
      <c r="BF15" s="31"/>
      <c r="BG15" s="31"/>
      <c r="BH15" s="31"/>
    </row>
    <row r="16" spans="1:60" s="14" customFormat="1" ht="15.75" hidden="1" customHeight="1" outlineLevel="1">
      <c r="A16" s="61">
        <v>42002</v>
      </c>
      <c r="B16" s="62" t="s">
        <v>139</v>
      </c>
      <c r="C16" s="62" t="s">
        <v>153</v>
      </c>
      <c r="D16" s="62" t="s">
        <v>154</v>
      </c>
      <c r="E16" s="63" t="s">
        <v>136</v>
      </c>
      <c r="F16" s="62"/>
      <c r="G16" s="46">
        <v>3</v>
      </c>
      <c r="H16" s="35" t="str">
        <f>IF(S6="В",IF(T6-U6&gt;1.5,"EW","W"),"ЛОЛ")</f>
        <v>W</v>
      </c>
      <c r="I16" s="35" t="str">
        <f t="shared" si="47"/>
        <v>W</v>
      </c>
      <c r="J16" s="47" t="str">
        <f>IF(S6="П",IF(((T6-U6)*(-1))&lt;1.5,"L","HL"),"D")</f>
        <v>D</v>
      </c>
      <c r="K16" s="36"/>
      <c r="L16" s="36"/>
      <c r="M16" s="19"/>
      <c r="N16" s="53"/>
      <c r="O16" s="53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42"/>
      <c r="AZ16" s="42"/>
      <c r="BA16" s="42"/>
      <c r="BB16" s="36"/>
      <c r="BC16" s="36"/>
      <c r="BD16" s="31"/>
      <c r="BE16" s="31"/>
      <c r="BF16" s="31"/>
      <c r="BG16" s="31"/>
      <c r="BH16" s="31"/>
    </row>
    <row r="17" spans="1:60" s="14" customFormat="1" ht="15.75" hidden="1" customHeight="1" outlineLevel="1">
      <c r="A17" s="61">
        <v>41991</v>
      </c>
      <c r="B17" s="62" t="s">
        <v>139</v>
      </c>
      <c r="C17" s="62" t="s">
        <v>153</v>
      </c>
      <c r="D17" s="62" t="s">
        <v>155</v>
      </c>
      <c r="E17" s="64" t="s">
        <v>137</v>
      </c>
      <c r="F17" s="62"/>
      <c r="G17" s="46">
        <v>4</v>
      </c>
      <c r="H17" s="35" t="str">
        <f>IF(S7="В",IF(T7-U7&gt;1.5,"EW","W"),"ЛОЛ")</f>
        <v>ЛОЛ</v>
      </c>
      <c r="I17" s="35" t="str">
        <f t="shared" si="47"/>
        <v>L</v>
      </c>
      <c r="J17" s="47" t="str">
        <f>IF(S7="П",IF(((T7-U7)*(-1))&lt;1.5,"L","HL"),"D")</f>
        <v>L</v>
      </c>
      <c r="K17" s="36"/>
      <c r="L17" s="36"/>
      <c r="M17" s="19"/>
      <c r="N17" s="53"/>
      <c r="O17" s="53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42"/>
      <c r="AZ17" s="42"/>
      <c r="BA17" s="42"/>
      <c r="BB17" s="36"/>
      <c r="BC17" s="36"/>
      <c r="BD17" s="31"/>
      <c r="BE17" s="31"/>
      <c r="BF17" s="31"/>
      <c r="BG17" s="31"/>
      <c r="BH17" s="31"/>
    </row>
    <row r="18" spans="1:60" s="14" customFormat="1" ht="15.75" hidden="1" customHeight="1" outlineLevel="1" thickBot="1">
      <c r="A18" s="61">
        <v>41958</v>
      </c>
      <c r="B18" s="62" t="s">
        <v>140</v>
      </c>
      <c r="C18" s="62" t="s">
        <v>152</v>
      </c>
      <c r="D18" s="62" t="s">
        <v>151</v>
      </c>
      <c r="E18" s="64" t="s">
        <v>138</v>
      </c>
      <c r="F18" s="62"/>
      <c r="G18" s="48">
        <v>5</v>
      </c>
      <c r="H18" s="49" t="str">
        <f>IF(S8="В",IF(T8-U8&gt;1.5,"EW","W"),"ЛОЛ")</f>
        <v>ЛОЛ</v>
      </c>
      <c r="I18" s="49" t="str">
        <f t="shared" si="47"/>
        <v>D</v>
      </c>
      <c r="J18" s="50" t="str">
        <f>IF(S8="П",IF(((T8-U8)*(-1))&lt;1.5,"L","HL"),"D")</f>
        <v>D</v>
      </c>
      <c r="K18" s="36"/>
      <c r="L18" s="36"/>
      <c r="M18" s="19"/>
      <c r="N18" s="53"/>
      <c r="O18" s="53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42"/>
      <c r="AZ18" s="42"/>
      <c r="BA18" s="42"/>
      <c r="BB18" s="36"/>
      <c r="BC18" s="36"/>
      <c r="BD18" s="31"/>
      <c r="BE18" s="31"/>
      <c r="BF18" s="31"/>
      <c r="BG18" s="31"/>
      <c r="BH18" s="31"/>
    </row>
    <row r="19" spans="1:60" s="14" customFormat="1" ht="15.75" hidden="1" customHeight="1" outlineLevel="1">
      <c r="A19" s="62"/>
      <c r="B19" s="62"/>
      <c r="C19" s="62"/>
      <c r="D19" s="62"/>
      <c r="E19" s="63"/>
      <c r="F19" s="60"/>
      <c r="G19" s="19"/>
      <c r="H19" s="19"/>
      <c r="I19" s="36"/>
      <c r="J19" s="36"/>
      <c r="K19" s="36"/>
      <c r="L19" s="36"/>
      <c r="M19" s="19"/>
      <c r="N19" s="53"/>
      <c r="O19" s="53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42"/>
      <c r="AZ19" s="42"/>
      <c r="BA19" s="42"/>
      <c r="BB19" s="36"/>
      <c r="BC19" s="36"/>
      <c r="BD19" s="31"/>
      <c r="BE19" s="31"/>
      <c r="BF19" s="31"/>
      <c r="BG19" s="31"/>
      <c r="BH19" s="31"/>
    </row>
    <row r="20" spans="1:60" s="14" customFormat="1" ht="15.75" hidden="1" customHeight="1" outlineLevel="1">
      <c r="A20" s="62"/>
      <c r="B20" s="62"/>
      <c r="C20" s="62"/>
      <c r="D20" s="62"/>
      <c r="E20" s="63"/>
      <c r="F20" s="60"/>
      <c r="G20" s="19"/>
      <c r="H20" s="19"/>
      <c r="I20" s="36"/>
      <c r="J20" s="36"/>
      <c r="K20" s="36"/>
      <c r="L20" s="36"/>
      <c r="M20" s="19"/>
      <c r="N20" s="53"/>
      <c r="O20" s="53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42"/>
      <c r="AZ20" s="42"/>
      <c r="BA20" s="42"/>
      <c r="BB20" s="36"/>
      <c r="BC20" s="36"/>
      <c r="BD20" s="31"/>
      <c r="BE20" s="31"/>
      <c r="BF20" s="31"/>
      <c r="BG20" s="31"/>
      <c r="BH20" s="31"/>
    </row>
    <row r="21" spans="1:60" s="14" customFormat="1" ht="15.75" hidden="1" customHeight="1" outlineLevel="1">
      <c r="A21" s="61"/>
      <c r="B21" s="62"/>
      <c r="C21" s="62"/>
      <c r="D21" s="62"/>
      <c r="E21" s="63"/>
      <c r="F21" s="60"/>
      <c r="G21" s="19"/>
      <c r="H21" s="19"/>
      <c r="I21" s="36"/>
      <c r="J21" s="36"/>
      <c r="K21" s="36"/>
      <c r="L21" s="36"/>
      <c r="M21" s="19"/>
      <c r="N21" s="53"/>
      <c r="O21" s="53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42"/>
      <c r="AZ21" s="42"/>
      <c r="BA21" s="42"/>
      <c r="BB21" s="36"/>
      <c r="BC21" s="36"/>
      <c r="BD21" s="31"/>
      <c r="BE21" s="31"/>
      <c r="BF21" s="31"/>
      <c r="BG21" s="31"/>
      <c r="BH21" s="31"/>
    </row>
    <row r="22" spans="1:60" s="14" customFormat="1" ht="15.75" hidden="1" customHeight="1" outlineLevel="1">
      <c r="A22" s="62"/>
      <c r="B22" s="62"/>
      <c r="C22" s="62"/>
      <c r="D22" s="62"/>
      <c r="E22" s="63"/>
      <c r="F22" s="60"/>
      <c r="G22" s="19"/>
      <c r="H22" s="19"/>
      <c r="I22" s="36"/>
      <c r="J22" s="36"/>
      <c r="K22" s="36"/>
      <c r="L22" s="36"/>
      <c r="M22" s="19"/>
      <c r="N22" s="53"/>
      <c r="O22" s="53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42"/>
      <c r="AZ22" s="42"/>
      <c r="BA22" s="42"/>
      <c r="BB22" s="36"/>
      <c r="BC22" s="36"/>
      <c r="BD22" s="31"/>
      <c r="BE22" s="31"/>
      <c r="BF22" s="31"/>
      <c r="BG22" s="31"/>
      <c r="BH22" s="31"/>
    </row>
    <row r="23" spans="1:60" s="14" customFormat="1" ht="15.75" hidden="1" customHeight="1" outlineLevel="1">
      <c r="A23" s="62"/>
      <c r="B23" s="62"/>
      <c r="C23" s="62"/>
      <c r="D23" s="62"/>
      <c r="E23" s="63"/>
      <c r="F23" s="60"/>
      <c r="G23" s="19"/>
      <c r="H23" s="19"/>
      <c r="I23" s="36"/>
      <c r="J23" s="36"/>
      <c r="K23" s="36"/>
      <c r="L23" s="36"/>
      <c r="M23" s="19"/>
      <c r="N23" s="53"/>
      <c r="O23" s="53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42"/>
      <c r="AZ23" s="42"/>
      <c r="BA23" s="42"/>
      <c r="BB23" s="36"/>
      <c r="BC23" s="36"/>
      <c r="BD23" s="31"/>
      <c r="BE23" s="31"/>
      <c r="BF23" s="31"/>
      <c r="BG23" s="31"/>
      <c r="BH23" s="31"/>
    </row>
    <row r="24" spans="1:60" ht="15.75" customHeight="1" collapsed="1">
      <c r="A24" s="151"/>
      <c r="B24" s="151"/>
      <c r="C24" s="151"/>
      <c r="D24" s="151"/>
      <c r="E24" s="151"/>
    </row>
    <row r="25" spans="1:60" ht="15.75" customHeight="1">
      <c r="A25" s="151"/>
      <c r="B25" s="151"/>
      <c r="C25" s="151"/>
      <c r="D25" s="151"/>
      <c r="E25" s="151"/>
    </row>
    <row r="26" spans="1:60" ht="15.75" customHeight="1">
      <c r="A26" s="151"/>
      <c r="B26" s="151"/>
      <c r="C26" s="151"/>
      <c r="D26" s="151"/>
      <c r="E26" s="151"/>
    </row>
    <row r="27" spans="1:60" ht="15.75" customHeight="1">
      <c r="A27" s="151"/>
      <c r="B27" s="151"/>
      <c r="C27" s="151"/>
      <c r="D27" s="151"/>
      <c r="E27" s="151"/>
    </row>
    <row r="28" spans="1:60" s="30" customFormat="1" ht="15.75" customHeight="1">
      <c r="A28" s="151"/>
      <c r="B28" s="151"/>
      <c r="C28" s="151"/>
      <c r="D28" s="151"/>
      <c r="E28" s="151"/>
      <c r="F28" s="40"/>
      <c r="G28" s="40"/>
      <c r="H28" s="40"/>
      <c r="I28" s="40"/>
      <c r="J28" s="40"/>
      <c r="K28" s="40"/>
      <c r="L28" s="40"/>
      <c r="M28" s="40"/>
      <c r="N28" s="56"/>
      <c r="O28" s="56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37"/>
      <c r="BD28" s="32"/>
      <c r="BE28" s="32"/>
      <c r="BF28" s="32"/>
      <c r="BG28" s="32"/>
      <c r="BH28" s="32"/>
    </row>
    <row r="29" spans="1:60" s="30" customFormat="1" ht="15.75" customHeight="1">
      <c r="F29" s="40"/>
      <c r="G29" s="40"/>
      <c r="H29" s="40"/>
      <c r="I29" s="40"/>
      <c r="J29" s="40"/>
      <c r="K29" s="40"/>
      <c r="L29" s="40"/>
      <c r="M29" s="40"/>
      <c r="N29" s="56"/>
      <c r="O29" s="56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1"/>
      <c r="BD29" s="32"/>
      <c r="BE29" s="32"/>
      <c r="BF29" s="32"/>
      <c r="BG29" s="32"/>
      <c r="BH29" s="32"/>
    </row>
    <row r="30" spans="1:60" s="30" customFormat="1" ht="15.75" customHeight="1">
      <c r="F30" s="40"/>
      <c r="G30" s="40"/>
      <c r="H30" s="40"/>
      <c r="I30" s="40"/>
      <c r="J30" s="40"/>
      <c r="K30" s="40"/>
      <c r="L30" s="40"/>
      <c r="M30" s="40"/>
      <c r="N30" s="56"/>
      <c r="O30" s="56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1"/>
      <c r="BD30" s="32"/>
      <c r="BE30" s="32"/>
      <c r="BF30" s="32"/>
      <c r="BG30" s="32"/>
      <c r="BH30" s="32"/>
    </row>
    <row r="31" spans="1:60" s="30" customFormat="1" ht="15.75" customHeight="1">
      <c r="F31" s="40"/>
      <c r="G31" s="40"/>
      <c r="H31" s="40"/>
      <c r="I31" s="40"/>
      <c r="J31" s="40"/>
      <c r="K31" s="40"/>
      <c r="L31" s="40"/>
      <c r="M31" s="40"/>
      <c r="N31" s="56"/>
      <c r="O31" s="56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1"/>
      <c r="BD31" s="32"/>
      <c r="BE31" s="32"/>
      <c r="BF31" s="32"/>
      <c r="BG31" s="32"/>
      <c r="BH31" s="32"/>
    </row>
    <row r="32" spans="1:60" s="30" customFormat="1" ht="15.75" customHeight="1">
      <c r="F32" s="40"/>
      <c r="G32" s="40"/>
      <c r="H32" s="40"/>
      <c r="I32" s="40"/>
      <c r="J32" s="40"/>
      <c r="K32" s="40"/>
      <c r="L32" s="40"/>
      <c r="M32" s="40"/>
      <c r="N32" s="56"/>
      <c r="O32" s="56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1"/>
      <c r="BD32" s="32"/>
      <c r="BE32" s="32"/>
      <c r="BF32" s="32"/>
      <c r="BG32" s="32"/>
      <c r="BH32" s="32"/>
    </row>
    <row r="33" spans="6:60" s="30" customFormat="1" ht="15.75" customHeight="1">
      <c r="F33" s="40"/>
      <c r="G33" s="40"/>
      <c r="H33" s="40"/>
      <c r="I33" s="40"/>
      <c r="J33" s="40"/>
      <c r="K33" s="40"/>
      <c r="L33" s="40"/>
      <c r="M33" s="40"/>
      <c r="N33" s="56"/>
      <c r="O33" s="56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1"/>
      <c r="BD33" s="32"/>
      <c r="BE33" s="32"/>
      <c r="BF33" s="32"/>
      <c r="BG33" s="32"/>
      <c r="BH33" s="32"/>
    </row>
    <row r="34" spans="6:60" s="30" customFormat="1" ht="15.75" customHeight="1">
      <c r="F34" s="40"/>
      <c r="G34" s="40"/>
      <c r="H34" s="40"/>
      <c r="I34" s="40"/>
      <c r="J34" s="40"/>
      <c r="K34" s="40"/>
      <c r="L34" s="40"/>
      <c r="M34" s="40"/>
      <c r="N34" s="56"/>
      <c r="O34" s="56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1"/>
      <c r="BD34" s="32"/>
      <c r="BE34" s="32"/>
      <c r="BF34" s="32"/>
      <c r="BG34" s="32"/>
      <c r="BH34" s="32"/>
    </row>
    <row r="35" spans="6:60" s="30" customFormat="1" ht="15.75" customHeight="1">
      <c r="F35" s="40"/>
      <c r="G35" s="40"/>
      <c r="H35" s="40"/>
      <c r="I35" s="40"/>
      <c r="J35" s="40"/>
      <c r="K35" s="40"/>
      <c r="L35" s="40"/>
      <c r="M35" s="40"/>
      <c r="N35" s="56"/>
      <c r="O35" s="56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1"/>
      <c r="BD35" s="32"/>
      <c r="BE35" s="32"/>
      <c r="BF35" s="32"/>
      <c r="BG35" s="32"/>
      <c r="BH35" s="32"/>
    </row>
    <row r="36" spans="6:60" s="30" customFormat="1" ht="15.75" customHeight="1">
      <c r="F36" s="40"/>
      <c r="G36" s="40"/>
      <c r="H36" s="40"/>
      <c r="I36" s="40"/>
      <c r="J36" s="40"/>
      <c r="K36" s="40"/>
      <c r="L36" s="40"/>
      <c r="M36" s="40"/>
      <c r="N36" s="56"/>
      <c r="O36" s="56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1"/>
      <c r="BD36" s="32"/>
      <c r="BE36" s="32"/>
      <c r="BF36" s="32"/>
      <c r="BG36" s="32"/>
      <c r="BH36" s="32"/>
    </row>
    <row r="37" spans="6:60" s="30" customFormat="1" ht="15.75" customHeight="1">
      <c r="F37" s="40"/>
      <c r="G37" s="40"/>
      <c r="H37" s="40"/>
      <c r="I37" s="40"/>
      <c r="J37" s="40"/>
      <c r="K37" s="40"/>
      <c r="L37" s="40"/>
      <c r="M37" s="40"/>
      <c r="N37" s="56"/>
      <c r="O37" s="56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1"/>
      <c r="BD37" s="32"/>
      <c r="BE37" s="32"/>
      <c r="BF37" s="32"/>
      <c r="BG37" s="32"/>
      <c r="BH37" s="32"/>
    </row>
    <row r="38" spans="6:60" s="30" customFormat="1" ht="15.75" customHeight="1">
      <c r="F38" s="40"/>
      <c r="G38" s="40"/>
      <c r="H38" s="40"/>
      <c r="I38" s="40"/>
      <c r="J38" s="40"/>
      <c r="K38" s="40"/>
      <c r="L38" s="40"/>
      <c r="M38" s="40"/>
      <c r="N38" s="56"/>
      <c r="O38" s="56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1"/>
      <c r="BD38" s="32"/>
      <c r="BE38" s="32"/>
      <c r="BF38" s="32"/>
      <c r="BG38" s="32"/>
      <c r="BH38" s="32"/>
    </row>
    <row r="39" spans="6:60" s="30" customFormat="1" ht="15.75" customHeight="1">
      <c r="F39" s="40"/>
      <c r="G39" s="40"/>
      <c r="H39" s="40"/>
      <c r="I39" s="40"/>
      <c r="J39" s="40"/>
      <c r="K39" s="40"/>
      <c r="L39" s="40"/>
      <c r="M39" s="40"/>
      <c r="N39" s="56"/>
      <c r="O39" s="56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1"/>
      <c r="BD39" s="32"/>
      <c r="BE39" s="32"/>
      <c r="BF39" s="32"/>
      <c r="BG39" s="32"/>
      <c r="BH39" s="32"/>
    </row>
    <row r="40" spans="6:60" s="30" customFormat="1" ht="15.75" customHeight="1">
      <c r="F40" s="40"/>
      <c r="G40" s="40"/>
      <c r="H40" s="40"/>
      <c r="I40" s="40"/>
      <c r="J40" s="40"/>
      <c r="K40" s="40"/>
      <c r="L40" s="40"/>
      <c r="M40" s="40"/>
      <c r="N40" s="56"/>
      <c r="O40" s="56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1"/>
      <c r="BD40" s="32"/>
      <c r="BE40" s="32"/>
      <c r="BF40" s="32"/>
      <c r="BG40" s="32"/>
      <c r="BH40" s="32"/>
    </row>
    <row r="41" spans="6:60" s="30" customFormat="1" ht="15.75" customHeight="1">
      <c r="F41" s="40"/>
      <c r="G41" s="40"/>
      <c r="H41" s="40"/>
      <c r="I41" s="40"/>
      <c r="J41" s="40"/>
      <c r="K41" s="40"/>
      <c r="L41" s="40"/>
      <c r="M41" s="40"/>
      <c r="N41" s="56"/>
      <c r="O41" s="56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1"/>
      <c r="BD41" s="32"/>
      <c r="BE41" s="32"/>
      <c r="BF41" s="32"/>
      <c r="BG41" s="32"/>
      <c r="BH41" s="32"/>
    </row>
    <row r="42" spans="6:60" ht="15.75" customHeight="1">
      <c r="BC42" s="41"/>
    </row>
  </sheetData>
  <mergeCells count="8">
    <mergeCell ref="A24:E28"/>
    <mergeCell ref="AU2:AX2"/>
    <mergeCell ref="A3:C3"/>
    <mergeCell ref="A1:E2"/>
    <mergeCell ref="V2:AB2"/>
    <mergeCell ref="AC2:AI2"/>
    <mergeCell ref="AJ2:AP2"/>
    <mergeCell ref="AQ2:AT2"/>
  </mergeCells>
  <conditionalFormatting sqref="I19:I23 I4:I13">
    <cfRule type="containsText" dxfId="13" priority="5" operator="containsText" text="Н">
      <formula>NOT(ISERROR(SEARCH("Н",I4)))</formula>
    </cfRule>
    <cfRule type="containsText" dxfId="12" priority="6" operator="containsText" text="В">
      <formula>NOT(ISERROR(SEARCH("В",I4)))</formula>
    </cfRule>
    <cfRule type="containsText" dxfId="11" priority="7" operator="containsText" text="П">
      <formula>NOT(ISERROR(SEARCH("П",I4)))</formula>
    </cfRule>
  </conditionalFormatting>
  <conditionalFormatting sqref="H19:I23 I4:I13">
    <cfRule type="containsText" dxfId="10" priority="2" operator="containsText" text="Н">
      <formula>NOT(ISERROR(SEARCH("Н",H4)))</formula>
    </cfRule>
    <cfRule type="containsText" dxfId="9" priority="3" operator="containsText" text="П">
      <formula>NOT(ISERROR(SEARCH("П",H4)))</formula>
    </cfRule>
    <cfRule type="containsText" dxfId="8" priority="4" operator="containsText" text="В">
      <formula>NOT(ISERROR(SEARCH("В",H4)))</formula>
    </cfRule>
  </conditionalFormatting>
  <conditionalFormatting sqref="L4">
    <cfRule type="expression" dxfId="7" priority="1" stopIfTrue="1">
      <formula>IF(SUM($H$4:$H$6)=8,"test","asd")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A1:BH42"/>
  <sheetViews>
    <sheetView zoomScaleNormal="100" workbookViewId="0">
      <selection activeCell="BF11" sqref="BF11"/>
    </sheetView>
  </sheetViews>
  <sheetFormatPr defaultColWidth="9.85546875" defaultRowHeight="15.75" customHeight="1" outlineLevelRow="1" outlineLevelCol="1"/>
  <cols>
    <col min="1" max="1" width="10.85546875" style="15" bestFit="1" customWidth="1"/>
    <col min="2" max="2" width="6.85546875" style="15" customWidth="1"/>
    <col min="3" max="4" width="20.42578125" style="15" customWidth="1"/>
    <col min="5" max="5" width="8.42578125" style="15" customWidth="1"/>
    <col min="6" max="6" width="9.85546875" style="36" hidden="1" customWidth="1" outlineLevel="1"/>
    <col min="7" max="13" width="4.7109375" style="36" hidden="1" customWidth="1" outlineLevel="1"/>
    <col min="14" max="15" width="10" style="53" hidden="1" customWidth="1" outlineLevel="1"/>
    <col min="16" max="54" width="6.42578125" style="36" hidden="1" customWidth="1" outlineLevel="1"/>
    <col min="55" max="55" width="9.85546875" style="37" hidden="1" customWidth="1" outlineLevel="1"/>
    <col min="56" max="56" width="9.85546875" style="34" collapsed="1"/>
    <col min="57" max="60" width="9.85546875" style="34"/>
    <col min="61" max="16384" width="9.85546875" style="15"/>
  </cols>
  <sheetData>
    <row r="1" spans="1:60" ht="11.25" customHeight="1">
      <c r="A1" s="161" t="s">
        <v>150</v>
      </c>
      <c r="B1" s="162"/>
      <c r="C1" s="162"/>
      <c r="D1" s="162"/>
      <c r="E1" s="163"/>
    </row>
    <row r="2" spans="1:60" ht="6.75" customHeight="1">
      <c r="A2" s="164"/>
      <c r="B2" s="165"/>
      <c r="C2" s="165"/>
      <c r="D2" s="165"/>
      <c r="E2" s="166"/>
      <c r="F2" s="38"/>
      <c r="G2" s="38"/>
      <c r="H2" s="38"/>
      <c r="I2" s="38"/>
      <c r="J2" s="38"/>
      <c r="K2" s="38"/>
      <c r="L2" s="38"/>
      <c r="M2" s="38"/>
      <c r="N2" s="54"/>
      <c r="O2" s="54"/>
      <c r="P2" s="20"/>
      <c r="Q2" s="20"/>
      <c r="R2" s="20"/>
      <c r="S2" s="20"/>
      <c r="T2" s="20"/>
      <c r="U2" s="20"/>
      <c r="V2" s="152" t="s">
        <v>8</v>
      </c>
      <c r="W2" s="152"/>
      <c r="X2" s="152"/>
      <c r="Y2" s="152"/>
      <c r="Z2" s="152"/>
      <c r="AA2" s="152"/>
      <c r="AB2" s="152"/>
      <c r="AC2" s="152" t="s">
        <v>9</v>
      </c>
      <c r="AD2" s="152"/>
      <c r="AE2" s="152"/>
      <c r="AF2" s="152"/>
      <c r="AG2" s="152"/>
      <c r="AH2" s="152"/>
      <c r="AI2" s="152"/>
      <c r="AJ2" s="152" t="s">
        <v>10</v>
      </c>
      <c r="AK2" s="152"/>
      <c r="AL2" s="152"/>
      <c r="AM2" s="152"/>
      <c r="AN2" s="152"/>
      <c r="AO2" s="152"/>
      <c r="AP2" s="152"/>
      <c r="AQ2" s="152" t="s">
        <v>11</v>
      </c>
      <c r="AR2" s="152"/>
      <c r="AS2" s="152"/>
      <c r="AT2" s="152"/>
      <c r="AU2" s="152" t="s">
        <v>12</v>
      </c>
      <c r="AV2" s="152"/>
      <c r="AW2" s="152"/>
      <c r="AX2" s="152"/>
      <c r="AY2" s="20"/>
      <c r="AZ2" s="20"/>
      <c r="BA2" s="20"/>
    </row>
    <row r="3" spans="1:60" ht="15.75" customHeight="1" thickBot="1">
      <c r="A3" s="167" t="str">
        <f>F3</f>
        <v>America De Cali</v>
      </c>
      <c r="B3" s="168"/>
      <c r="C3" s="169"/>
      <c r="D3" s="65"/>
      <c r="E3" s="66" t="s">
        <v>0</v>
      </c>
      <c r="F3" s="53" t="str">
        <f>IF(COUNTIF(C4:D13,C4)&gt;COUNTIF(C4:D13,D4),C4,D4)</f>
        <v>America De Cali</v>
      </c>
      <c r="G3" s="38" t="s">
        <v>1</v>
      </c>
      <c r="H3" s="38" t="s">
        <v>2</v>
      </c>
      <c r="I3" s="38" t="s">
        <v>3</v>
      </c>
      <c r="J3" s="38" t="s">
        <v>4</v>
      </c>
      <c r="K3" s="38" t="s">
        <v>5</v>
      </c>
      <c r="L3" s="38" t="s">
        <v>6</v>
      </c>
      <c r="M3" s="18" t="s">
        <v>0</v>
      </c>
      <c r="N3" s="55" t="s">
        <v>13</v>
      </c>
      <c r="O3" s="55" t="s">
        <v>14</v>
      </c>
      <c r="P3" s="17" t="s">
        <v>15</v>
      </c>
      <c r="Q3" s="17" t="s">
        <v>16</v>
      </c>
      <c r="R3" s="55" t="s">
        <v>7</v>
      </c>
      <c r="S3" s="55" t="s">
        <v>17</v>
      </c>
      <c r="T3" s="55" t="s">
        <v>18</v>
      </c>
      <c r="U3" s="55" t="s">
        <v>19</v>
      </c>
      <c r="V3" s="20" t="s">
        <v>20</v>
      </c>
      <c r="W3" s="20" t="s">
        <v>21</v>
      </c>
      <c r="X3" s="20" t="s">
        <v>22</v>
      </c>
      <c r="Y3" s="20" t="s">
        <v>23</v>
      </c>
      <c r="Z3" s="17" t="s">
        <v>18</v>
      </c>
      <c r="AA3" s="55" t="s">
        <v>19</v>
      </c>
      <c r="AB3" s="20" t="s">
        <v>24</v>
      </c>
      <c r="AC3" s="20" t="s">
        <v>20</v>
      </c>
      <c r="AD3" s="20" t="s">
        <v>21</v>
      </c>
      <c r="AE3" s="20" t="s">
        <v>22</v>
      </c>
      <c r="AF3" s="20" t="s">
        <v>23</v>
      </c>
      <c r="AG3" s="17" t="s">
        <v>18</v>
      </c>
      <c r="AH3" s="55" t="s">
        <v>19</v>
      </c>
      <c r="AI3" s="20" t="s">
        <v>24</v>
      </c>
      <c r="AJ3" s="20" t="s">
        <v>20</v>
      </c>
      <c r="AK3" s="20" t="s">
        <v>21</v>
      </c>
      <c r="AL3" s="20" t="s">
        <v>22</v>
      </c>
      <c r="AM3" s="20" t="s">
        <v>23</v>
      </c>
      <c r="AN3" s="17" t="s">
        <v>18</v>
      </c>
      <c r="AO3" s="55" t="s">
        <v>19</v>
      </c>
      <c r="AP3" s="20" t="s">
        <v>24</v>
      </c>
      <c r="AQ3" s="20">
        <v>0</v>
      </c>
      <c r="AR3" s="20">
        <v>1</v>
      </c>
      <c r="AS3" s="20">
        <v>2</v>
      </c>
      <c r="AT3" s="20" t="s">
        <v>25</v>
      </c>
      <c r="AU3" s="20">
        <v>0</v>
      </c>
      <c r="AV3" s="20">
        <v>1</v>
      </c>
      <c r="AW3" s="20">
        <v>2</v>
      </c>
      <c r="AX3" s="20" t="s">
        <v>25</v>
      </c>
      <c r="AY3" s="16" t="s">
        <v>26</v>
      </c>
      <c r="AZ3" s="16" t="s">
        <v>27</v>
      </c>
      <c r="BA3" s="16" t="s">
        <v>28</v>
      </c>
      <c r="BB3" s="16" t="s">
        <v>64</v>
      </c>
    </row>
    <row r="4" spans="1:60" ht="15.75" customHeight="1" thickBot="1">
      <c r="A4" s="67" t="str">
        <f>Cтатистика!A9</f>
        <v>19.03.18</v>
      </c>
      <c r="B4" s="68" t="str">
        <f>Cтатистика!B9</f>
        <v>LA</v>
      </c>
      <c r="C4" s="68" t="str">
        <f>Cтатистика!C9</f>
        <v>America De Cali</v>
      </c>
      <c r="D4" s="68" t="str">
        <f>Cтатистика!D9</f>
        <v>Bucaramanga</v>
      </c>
      <c r="E4" s="69" t="str">
        <f>Cтатистика!E9</f>
        <v>2 : 1</v>
      </c>
      <c r="F4" s="60"/>
      <c r="G4" s="19">
        <f>IF(R4="Дома",K4,L4)</f>
        <v>2</v>
      </c>
      <c r="H4" s="19">
        <f>IF(R4="Дома",L4,K4)</f>
        <v>1</v>
      </c>
      <c r="I4" s="36" t="str">
        <f>IF(R4="Дома",IF(K4&gt;L4,"В",IF(K4=L4,"Н","П")),IF(L4&gt;K4,"В",IF(K4=L4,"Н","П")))</f>
        <v>В</v>
      </c>
      <c r="J4" s="36" t="str">
        <f t="shared" ref="J4:J13" si="0">B4</f>
        <v>LA</v>
      </c>
      <c r="K4" s="36">
        <f>VALUE(LEFT(M4,FIND(":",M4,1)-1))</f>
        <v>2</v>
      </c>
      <c r="L4" s="36">
        <f>VALUE(LEFT(RIGHT(M4,LEN(M4)-FIND(":",M4,1)),1))</f>
        <v>1</v>
      </c>
      <c r="M4" s="19" t="str">
        <f t="shared" ref="M4:M13" si="1">SUBSTITUTE(E4," : ",":")</f>
        <v>2:1</v>
      </c>
      <c r="N4" s="53" t="str">
        <f t="shared" ref="N4:O13" si="2">C4</f>
        <v>America De Cali</v>
      </c>
      <c r="O4" s="53" t="str">
        <f t="shared" si="2"/>
        <v>Bucaramanga</v>
      </c>
      <c r="P4" s="36">
        <f>VALUE(LEFT(M4,FIND(":",M4,1)-1))</f>
        <v>2</v>
      </c>
      <c r="Q4" s="36">
        <f>VALUE(LEFT(RIGHT(M4,LEN(M4)-FIND(":",M4,1)),1))</f>
        <v>1</v>
      </c>
      <c r="R4" s="36" t="str">
        <f>IF(C4=A$3,"Дома","В гостях")</f>
        <v>Дома</v>
      </c>
      <c r="S4" s="36" t="str">
        <f t="shared" ref="S4:S13" si="3">I4</f>
        <v>В</v>
      </c>
      <c r="T4" s="36">
        <f t="shared" ref="T4:U13" si="4">G4</f>
        <v>2</v>
      </c>
      <c r="U4" s="36">
        <f t="shared" si="4"/>
        <v>1</v>
      </c>
      <c r="V4" s="36">
        <v>1</v>
      </c>
      <c r="W4" s="36">
        <f>IF(S4="В",1,0)</f>
        <v>1</v>
      </c>
      <c r="X4" s="36">
        <f>IF(S4="Н",1,0)</f>
        <v>0</v>
      </c>
      <c r="Y4" s="36">
        <f>IF(S4="П",1,0)</f>
        <v>0</v>
      </c>
      <c r="Z4" s="36">
        <f>T4</f>
        <v>2</v>
      </c>
      <c r="AA4" s="36">
        <f>U4</f>
        <v>1</v>
      </c>
      <c r="AB4" s="36">
        <f>W4*3+X4</f>
        <v>3</v>
      </c>
      <c r="AC4" s="36">
        <f>IF(R4="Дома",1,0)</f>
        <v>1</v>
      </c>
      <c r="AD4" s="36">
        <f>IF(R4="Дома",IF(S4="В",1,0),0)</f>
        <v>1</v>
      </c>
      <c r="AE4" s="36">
        <f>IF(R4="Дома",IF(S4="Н",1,0),0)</f>
        <v>0</v>
      </c>
      <c r="AF4" s="36">
        <f>IF(R4="Дома",IF(S4="П",1,0),0)</f>
        <v>0</v>
      </c>
      <c r="AG4" s="36">
        <f>IF(R4="Дома",T4,0)</f>
        <v>2</v>
      </c>
      <c r="AH4" s="36">
        <f>IF(R4="Дома",U4,0)</f>
        <v>1</v>
      </c>
      <c r="AI4" s="36">
        <f>AD4*3+AE4</f>
        <v>3</v>
      </c>
      <c r="AJ4" s="36">
        <f>IF(R4&lt;&gt;"Дома",1,0)</f>
        <v>0</v>
      </c>
      <c r="AK4" s="36">
        <f>IF(R4&lt;&gt;"Дома",IF(S4="В",1,0),0)</f>
        <v>0</v>
      </c>
      <c r="AL4" s="36">
        <f>IF(R4&lt;&gt;"Дома",IF(S4="Н",1,0),0)</f>
        <v>0</v>
      </c>
      <c r="AM4" s="36">
        <f>IF(R4&lt;&gt;"Дома",IF(S4="П",1,0),0)</f>
        <v>0</v>
      </c>
      <c r="AN4" s="36">
        <f>IF(R4&lt;&gt;"Дома",T4,0)</f>
        <v>0</v>
      </c>
      <c r="AO4" s="36">
        <f>IF(R4&lt;&gt;"Дома",U4,0)</f>
        <v>0</v>
      </c>
      <c r="AP4" s="36">
        <f>AK4*3+AL4</f>
        <v>0</v>
      </c>
      <c r="AQ4" s="36">
        <f>IF(R4="Дома",IF(T4=0,1,0),0)</f>
        <v>0</v>
      </c>
      <c r="AR4" s="36">
        <f>IF(R4="Дома",IF(T4=1,1,0),0)</f>
        <v>0</v>
      </c>
      <c r="AS4" s="36">
        <f>IF(R4="Дома",IF(T4=2,1,0),0)</f>
        <v>1</v>
      </c>
      <c r="AT4" s="36">
        <f>IF(R4="Дома",IF(T4&gt;=3,1,0),0)</f>
        <v>0</v>
      </c>
      <c r="AU4" s="36">
        <f>IF(R4&lt;&gt;"Дома",IF(X4=0,1,0),0)</f>
        <v>0</v>
      </c>
      <c r="AV4" s="36">
        <f>IF(R4&lt;&gt;"Дома",IF(X4=1,1,0),0)</f>
        <v>0</v>
      </c>
      <c r="AW4" s="36">
        <f>IF(R4&lt;&gt;"Дома",IF(X4=2,1,0),0)</f>
        <v>0</v>
      </c>
      <c r="AX4" s="36">
        <f>IF(R4&lt;&gt;"Дома",IF(X4&gt;=3,1,0),0)</f>
        <v>0</v>
      </c>
      <c r="AY4" s="42">
        <f>V4/Z4</f>
        <v>0.5</v>
      </c>
      <c r="AZ4" s="42">
        <f>V4/AA4</f>
        <v>1</v>
      </c>
      <c r="BA4" s="42">
        <f>(AI4/IF(AC4&lt;1,1,AC4)+AP4/IF(AJ4&lt;1,1,AJ4)*1.5+AG4/IF(AC4&lt;1,1,AC4)+AN4/IF(AJ4&lt;1,1,AJ4)*1.5-AH4/IF(AC4&lt;1,1,AC4)*1.5-AO4/IF(AJ4&lt;1,1,AJ4))/15</f>
        <v>0.23333333333333334</v>
      </c>
      <c r="BB4" s="36">
        <f>IF(R4="Дома",T4+U4,"")</f>
        <v>3</v>
      </c>
    </row>
    <row r="5" spans="1:60" ht="15.75" customHeight="1" thickBot="1">
      <c r="A5" s="67" t="str">
        <f>Cтатистика!A10</f>
        <v>16.03.18</v>
      </c>
      <c r="B5" s="68" t="str">
        <f>Cтатистика!B10</f>
        <v>LA</v>
      </c>
      <c r="C5" s="68" t="str">
        <f>Cтатистика!C10</f>
        <v>Jaguares de Cordoba</v>
      </c>
      <c r="D5" s="68" t="str">
        <f>Cтатистика!D10</f>
        <v>America De Cali</v>
      </c>
      <c r="E5" s="69" t="str">
        <f>Cтатистика!E10</f>
        <v>1 : 0</v>
      </c>
      <c r="F5" s="60"/>
      <c r="G5" s="19">
        <f t="shared" ref="G5:G13" si="5">IF(R5="Дома",K5,L5)</f>
        <v>0</v>
      </c>
      <c r="H5" s="19">
        <f t="shared" ref="H5:H13" si="6">IF(R5="Дома",L5,K5)</f>
        <v>1</v>
      </c>
      <c r="I5" s="36" t="str">
        <f t="shared" ref="I5:I13" si="7">IF(R5="Дома",IF(K5&gt;L5,"В",IF(K5=L5,"Н","П")),IF(L5&gt;K5,"В",IF(K5=L5,"Н","П")))</f>
        <v>П</v>
      </c>
      <c r="J5" s="36" t="str">
        <f t="shared" si="0"/>
        <v>LA</v>
      </c>
      <c r="K5" s="36">
        <f t="shared" ref="K5:K13" si="8">VALUE(LEFT(M5,FIND(":",M5,1)-1))</f>
        <v>1</v>
      </c>
      <c r="L5" s="36">
        <f t="shared" ref="L5:L13" si="9">VALUE(LEFT(RIGHT(M5,LEN(M5)-FIND(":",M5,1)),1))</f>
        <v>0</v>
      </c>
      <c r="M5" s="19" t="str">
        <f t="shared" si="1"/>
        <v>1:0</v>
      </c>
      <c r="N5" s="53" t="str">
        <f t="shared" si="2"/>
        <v>Jaguares de Cordoba</v>
      </c>
      <c r="O5" s="53" t="str">
        <f t="shared" si="2"/>
        <v>America De Cali</v>
      </c>
      <c r="P5" s="36">
        <f t="shared" ref="P5:P13" si="10">VALUE(LEFT(M5,FIND(":",M5,1)-1))</f>
        <v>1</v>
      </c>
      <c r="Q5" s="36">
        <f t="shared" ref="Q5:Q13" si="11">VALUE(LEFT(RIGHT(M5,LEN(M5)-FIND(":",M5,1)),1))</f>
        <v>0</v>
      </c>
      <c r="R5" s="36" t="str">
        <f t="shared" ref="R5:R13" si="12">IF(C5=A$3,"Дома","В гостях")</f>
        <v>В гостях</v>
      </c>
      <c r="S5" s="36" t="str">
        <f t="shared" si="3"/>
        <v>П</v>
      </c>
      <c r="T5" s="36">
        <f t="shared" si="4"/>
        <v>0</v>
      </c>
      <c r="U5" s="36">
        <f t="shared" si="4"/>
        <v>1</v>
      </c>
      <c r="V5" s="39">
        <f t="shared" ref="V5:V13" si="13">V4+1</f>
        <v>2</v>
      </c>
      <c r="W5" s="39">
        <f>IF(S5="В",W4+1,W4+0)</f>
        <v>1</v>
      </c>
      <c r="X5" s="39">
        <f t="shared" ref="X5:X13" si="14">IF(S5="Н",X4+1,X4+0)</f>
        <v>0</v>
      </c>
      <c r="Y5" s="39">
        <f t="shared" ref="Y5:Y13" si="15">IF(S5="П",Y4+1,Y4+0)</f>
        <v>1</v>
      </c>
      <c r="Z5" s="39">
        <f t="shared" ref="Z5:AA13" si="16">T5+Z4</f>
        <v>2</v>
      </c>
      <c r="AA5" s="39">
        <f t="shared" si="16"/>
        <v>2</v>
      </c>
      <c r="AB5" s="39">
        <f t="shared" ref="AB5:AB13" si="17">W5*3+X5</f>
        <v>3</v>
      </c>
      <c r="AC5" s="39">
        <f t="shared" ref="AC5:AC13" si="18">IF(R5="Дома",AC4+1,AC4+0)</f>
        <v>1</v>
      </c>
      <c r="AD5" s="39">
        <f t="shared" ref="AD5:AD13" si="19">IF(R5="Дома",IF(S5="В",AD4+1,AD4+0),AD4+0)</f>
        <v>1</v>
      </c>
      <c r="AE5" s="39">
        <f t="shared" ref="AE5:AE13" si="20">IF(R5="Дома",IF(S5="Н",AE4+1,AE4+0),AE4+0)</f>
        <v>0</v>
      </c>
      <c r="AF5" s="39">
        <f t="shared" ref="AF5:AF13" si="21">IF(R5="Дома",IF(S5="П",AF4+1,AF4+0),AF4+0)</f>
        <v>0</v>
      </c>
      <c r="AG5" s="39">
        <f t="shared" ref="AG5:AG13" si="22">IF(R5="Дома",AG4+T5,AG4+0)</f>
        <v>2</v>
      </c>
      <c r="AH5" s="39">
        <f t="shared" ref="AH5:AH13" si="23">IF(R5="Дома",AH4+U5,AH4+0)</f>
        <v>1</v>
      </c>
      <c r="AI5" s="39">
        <f t="shared" ref="AI5:AI13" si="24">AD5*3+AE5</f>
        <v>3</v>
      </c>
      <c r="AJ5" s="39">
        <f>IF(R5&lt;&gt;"Дома",AJ4+1,AJ4+0)</f>
        <v>1</v>
      </c>
      <c r="AK5" s="39">
        <f t="shared" ref="AK5:AK13" si="25">IF(R5&lt;&gt;"Дома",IF(S5="В",AK4+1,AK4+0),AK4+0)</f>
        <v>0</v>
      </c>
      <c r="AL5" s="39">
        <f t="shared" ref="AL5:AL13" si="26">IF(R5&lt;&gt;"Дома",IF(S5="Н",AL4+1,AL4+0),AL4+0)</f>
        <v>0</v>
      </c>
      <c r="AM5" s="39">
        <f t="shared" ref="AM5:AM13" si="27">IF(R5&lt;&gt;"Дома",IF(S5="П",AM4+1,AM4+0),AM4+0)</f>
        <v>1</v>
      </c>
      <c r="AN5" s="39">
        <f t="shared" ref="AN5:AN13" si="28">IF(R5&lt;&gt;"Дома",AN4+T5,AN4+0)</f>
        <v>0</v>
      </c>
      <c r="AO5" s="39">
        <f t="shared" ref="AO5:AO13" si="29">IF(R5&lt;&gt;"Дома",AO4+U5,AO4+0)</f>
        <v>1</v>
      </c>
      <c r="AP5" s="39">
        <f t="shared" ref="AP5:AP13" si="30">AK5*3+AL5</f>
        <v>0</v>
      </c>
      <c r="AQ5" s="36">
        <f>IF(R5="Дома",IF(T5=0,AQ4+1,AQ4),AQ4)</f>
        <v>0</v>
      </c>
      <c r="AR5" s="36">
        <f t="shared" ref="AR5:AR13" si="31">IF(R5="Дома",IF(T5=1,AR4+1,AR4),AR4)</f>
        <v>0</v>
      </c>
      <c r="AS5" s="36">
        <f t="shared" ref="AS5:AS13" si="32">IF(R5="Дома",IF(T5=2,AS4+1,AS4),AS4)</f>
        <v>1</v>
      </c>
      <c r="AT5" s="36">
        <f t="shared" ref="AT5:AT13" si="33">IF(R5="Дома",IF(T5&gt;=3,AT4+1,AT4),AT4)</f>
        <v>0</v>
      </c>
      <c r="AU5" s="36">
        <f t="shared" ref="AU5:AU13" si="34">IF(R5&lt;&gt;"Дома",IF(T5=0,AU4+1,AU4),AU4)</f>
        <v>1</v>
      </c>
      <c r="AV5" s="36">
        <f t="shared" ref="AV5:AV13" si="35">IF(R5&lt;&gt;"Дома",IF(T5=1,AV4+1,AV4),AV4)</f>
        <v>0</v>
      </c>
      <c r="AW5" s="36">
        <f t="shared" ref="AW5:AW13" si="36">IF(R5&lt;&gt;"Дома",IF(T5=2,AW4+1,AW4),AW4)</f>
        <v>0</v>
      </c>
      <c r="AX5" s="36">
        <f t="shared" ref="AX5:AX13" si="37">IF(R5&lt;&gt;"Дома",IF(T5&gt;=3,AX4+1,AX4),AX4)</f>
        <v>0</v>
      </c>
      <c r="AY5" s="42">
        <f t="shared" ref="AY5:AY13" si="38">V5/Z5</f>
        <v>1</v>
      </c>
      <c r="AZ5" s="42">
        <f t="shared" ref="AZ5:AZ13" si="39">V5/AA5</f>
        <v>1</v>
      </c>
      <c r="BA5" s="42">
        <f t="shared" ref="BA5:BA13" si="40">(AI5/IF(AC5&lt;1,1,AC5)+AP5/IF(AJ5&lt;1,1,AJ5)*1.5+AG5/IF(AC5&lt;1,1,AC5)+AN5/IF(AJ5&lt;1,1,AJ5)*1.5-AH5/IF(AC5&lt;1,1,AC5)*1.5-AO5/IF(AJ5&lt;1,1,AJ5))/15</f>
        <v>0.16666666666666666</v>
      </c>
      <c r="BB5" s="36" t="str">
        <f t="shared" ref="BB5:BB13" si="41">IF(R5="Дома",T5+U5,"")</f>
        <v/>
      </c>
    </row>
    <row r="6" spans="1:60" ht="15.75" customHeight="1" thickBot="1">
      <c r="A6" s="67" t="str">
        <f>Cтатистика!A11</f>
        <v>09.03.18</v>
      </c>
      <c r="B6" s="68" t="str">
        <f>Cтатистика!B11</f>
        <v>COP</v>
      </c>
      <c r="C6" s="68" t="str">
        <f>Cтатистика!C11</f>
        <v>America De Cali</v>
      </c>
      <c r="D6" s="68" t="str">
        <f>Cтатистика!D11</f>
        <v>Defensa y Justicia</v>
      </c>
      <c r="E6" s="69" t="str">
        <f>Cтатистика!E11</f>
        <v>0 : 3</v>
      </c>
      <c r="F6" s="60"/>
      <c r="G6" s="19">
        <f t="shared" si="5"/>
        <v>0</v>
      </c>
      <c r="H6" s="19">
        <f t="shared" si="6"/>
        <v>3</v>
      </c>
      <c r="I6" s="36" t="str">
        <f t="shared" si="7"/>
        <v>П</v>
      </c>
      <c r="J6" s="36" t="str">
        <f t="shared" si="0"/>
        <v>COP</v>
      </c>
      <c r="K6" s="36">
        <f t="shared" si="8"/>
        <v>0</v>
      </c>
      <c r="L6" s="36">
        <f t="shared" si="9"/>
        <v>3</v>
      </c>
      <c r="M6" s="19" t="str">
        <f t="shared" si="1"/>
        <v>0:3</v>
      </c>
      <c r="N6" s="53" t="str">
        <f t="shared" si="2"/>
        <v>America De Cali</v>
      </c>
      <c r="O6" s="53" t="str">
        <f t="shared" si="2"/>
        <v>Defensa y Justicia</v>
      </c>
      <c r="P6" s="36">
        <f t="shared" si="10"/>
        <v>0</v>
      </c>
      <c r="Q6" s="36">
        <f t="shared" si="11"/>
        <v>3</v>
      </c>
      <c r="R6" s="36" t="str">
        <f t="shared" si="12"/>
        <v>Дома</v>
      </c>
      <c r="S6" s="36" t="str">
        <f t="shared" si="3"/>
        <v>П</v>
      </c>
      <c r="T6" s="36">
        <f t="shared" si="4"/>
        <v>0</v>
      </c>
      <c r="U6" s="36">
        <f t="shared" si="4"/>
        <v>3</v>
      </c>
      <c r="V6" s="39">
        <f t="shared" si="13"/>
        <v>3</v>
      </c>
      <c r="W6" s="39">
        <f t="shared" ref="W6:W13" si="42">IF(S6="В",W5+1,W5+0)</f>
        <v>1</v>
      </c>
      <c r="X6" s="39">
        <f t="shared" si="14"/>
        <v>0</v>
      </c>
      <c r="Y6" s="39">
        <f t="shared" si="15"/>
        <v>2</v>
      </c>
      <c r="Z6" s="39">
        <f t="shared" si="16"/>
        <v>2</v>
      </c>
      <c r="AA6" s="39">
        <f t="shared" si="16"/>
        <v>5</v>
      </c>
      <c r="AB6" s="39">
        <f t="shared" si="17"/>
        <v>3</v>
      </c>
      <c r="AC6" s="39">
        <f t="shared" si="18"/>
        <v>2</v>
      </c>
      <c r="AD6" s="39">
        <f t="shared" si="19"/>
        <v>1</v>
      </c>
      <c r="AE6" s="39">
        <f t="shared" si="20"/>
        <v>0</v>
      </c>
      <c r="AF6" s="39">
        <f t="shared" si="21"/>
        <v>1</v>
      </c>
      <c r="AG6" s="39">
        <f t="shared" si="22"/>
        <v>2</v>
      </c>
      <c r="AH6" s="39">
        <f t="shared" si="23"/>
        <v>4</v>
      </c>
      <c r="AI6" s="39">
        <f t="shared" si="24"/>
        <v>3</v>
      </c>
      <c r="AJ6" s="39">
        <f t="shared" ref="AJ6:AJ13" si="43">IF(R6&lt;&gt;"Дома",AJ5+1,AJ5+0)</f>
        <v>1</v>
      </c>
      <c r="AK6" s="39">
        <f t="shared" si="25"/>
        <v>0</v>
      </c>
      <c r="AL6" s="39">
        <f t="shared" si="26"/>
        <v>0</v>
      </c>
      <c r="AM6" s="39">
        <f t="shared" si="27"/>
        <v>1</v>
      </c>
      <c r="AN6" s="39">
        <f t="shared" si="28"/>
        <v>0</v>
      </c>
      <c r="AO6" s="39">
        <f t="shared" si="29"/>
        <v>1</v>
      </c>
      <c r="AP6" s="39">
        <f t="shared" si="30"/>
        <v>0</v>
      </c>
      <c r="AQ6" s="36">
        <f t="shared" ref="AQ6:AQ13" si="44">IF(R6="Дома",IF(T6=0,AQ5+1,AQ5),AQ5)</f>
        <v>1</v>
      </c>
      <c r="AR6" s="36">
        <f t="shared" si="31"/>
        <v>0</v>
      </c>
      <c r="AS6" s="36">
        <f t="shared" si="32"/>
        <v>1</v>
      </c>
      <c r="AT6" s="36">
        <f t="shared" si="33"/>
        <v>0</v>
      </c>
      <c r="AU6" s="36">
        <f t="shared" si="34"/>
        <v>1</v>
      </c>
      <c r="AV6" s="36">
        <f t="shared" si="35"/>
        <v>0</v>
      </c>
      <c r="AW6" s="36">
        <f t="shared" si="36"/>
        <v>0</v>
      </c>
      <c r="AX6" s="36">
        <f t="shared" si="37"/>
        <v>0</v>
      </c>
      <c r="AY6" s="42">
        <f t="shared" si="38"/>
        <v>1.5</v>
      </c>
      <c r="AZ6" s="42">
        <f t="shared" si="39"/>
        <v>0.6</v>
      </c>
      <c r="BA6" s="42">
        <f t="shared" si="40"/>
        <v>-0.1</v>
      </c>
      <c r="BB6" s="36">
        <f t="shared" si="41"/>
        <v>3</v>
      </c>
    </row>
    <row r="7" spans="1:60" ht="15.75" customHeight="1" thickBot="1">
      <c r="A7" s="67" t="str">
        <f>Cтатистика!A12</f>
        <v>04.03.18</v>
      </c>
      <c r="B7" s="68" t="str">
        <f>Cтатистика!B12</f>
        <v>LA</v>
      </c>
      <c r="C7" s="68" t="str">
        <f>Cтатистика!C12</f>
        <v>Millonarios</v>
      </c>
      <c r="D7" s="68" t="str">
        <f>Cтатистика!D12</f>
        <v>America De Cali</v>
      </c>
      <c r="E7" s="69" t="str">
        <f>Cтатистика!E12</f>
        <v>3 : 1</v>
      </c>
      <c r="F7" s="60"/>
      <c r="G7" s="19">
        <f t="shared" si="5"/>
        <v>1</v>
      </c>
      <c r="H7" s="19">
        <f t="shared" si="6"/>
        <v>3</v>
      </c>
      <c r="I7" s="36" t="str">
        <f t="shared" si="7"/>
        <v>П</v>
      </c>
      <c r="J7" s="36" t="str">
        <f t="shared" si="0"/>
        <v>LA</v>
      </c>
      <c r="K7" s="36">
        <f t="shared" si="8"/>
        <v>3</v>
      </c>
      <c r="L7" s="36">
        <f t="shared" si="9"/>
        <v>1</v>
      </c>
      <c r="M7" s="19" t="str">
        <f t="shared" si="1"/>
        <v>3:1</v>
      </c>
      <c r="N7" s="53" t="str">
        <f t="shared" si="2"/>
        <v>Millonarios</v>
      </c>
      <c r="O7" s="53" t="str">
        <f t="shared" si="2"/>
        <v>America De Cali</v>
      </c>
      <c r="P7" s="36">
        <f t="shared" si="10"/>
        <v>3</v>
      </c>
      <c r="Q7" s="36">
        <f t="shared" si="11"/>
        <v>1</v>
      </c>
      <c r="R7" s="36" t="str">
        <f t="shared" si="12"/>
        <v>В гостях</v>
      </c>
      <c r="S7" s="36" t="str">
        <f t="shared" si="3"/>
        <v>П</v>
      </c>
      <c r="T7" s="36">
        <f t="shared" si="4"/>
        <v>1</v>
      </c>
      <c r="U7" s="36">
        <f t="shared" si="4"/>
        <v>3</v>
      </c>
      <c r="V7" s="39">
        <f t="shared" si="13"/>
        <v>4</v>
      </c>
      <c r="W7" s="39">
        <f t="shared" si="42"/>
        <v>1</v>
      </c>
      <c r="X7" s="39">
        <f t="shared" si="14"/>
        <v>0</v>
      </c>
      <c r="Y7" s="39">
        <f t="shared" si="15"/>
        <v>3</v>
      </c>
      <c r="Z7" s="39">
        <f t="shared" si="16"/>
        <v>3</v>
      </c>
      <c r="AA7" s="39">
        <f t="shared" si="16"/>
        <v>8</v>
      </c>
      <c r="AB7" s="39">
        <f t="shared" si="17"/>
        <v>3</v>
      </c>
      <c r="AC7" s="39">
        <f t="shared" si="18"/>
        <v>2</v>
      </c>
      <c r="AD7" s="39">
        <f t="shared" si="19"/>
        <v>1</v>
      </c>
      <c r="AE7" s="39">
        <f t="shared" si="20"/>
        <v>0</v>
      </c>
      <c r="AF7" s="39">
        <f t="shared" si="21"/>
        <v>1</v>
      </c>
      <c r="AG7" s="39">
        <f t="shared" si="22"/>
        <v>2</v>
      </c>
      <c r="AH7" s="39">
        <f t="shared" si="23"/>
        <v>4</v>
      </c>
      <c r="AI7" s="39">
        <f t="shared" si="24"/>
        <v>3</v>
      </c>
      <c r="AJ7" s="39">
        <f t="shared" si="43"/>
        <v>2</v>
      </c>
      <c r="AK7" s="39">
        <f t="shared" si="25"/>
        <v>0</v>
      </c>
      <c r="AL7" s="39">
        <f t="shared" si="26"/>
        <v>0</v>
      </c>
      <c r="AM7" s="39">
        <f t="shared" si="27"/>
        <v>2</v>
      </c>
      <c r="AN7" s="39">
        <f t="shared" si="28"/>
        <v>1</v>
      </c>
      <c r="AO7" s="39">
        <f t="shared" si="29"/>
        <v>4</v>
      </c>
      <c r="AP7" s="39">
        <f t="shared" si="30"/>
        <v>0</v>
      </c>
      <c r="AQ7" s="36">
        <f t="shared" si="44"/>
        <v>1</v>
      </c>
      <c r="AR7" s="36">
        <f t="shared" si="31"/>
        <v>0</v>
      </c>
      <c r="AS7" s="36">
        <f t="shared" si="32"/>
        <v>1</v>
      </c>
      <c r="AT7" s="36">
        <f t="shared" si="33"/>
        <v>0</v>
      </c>
      <c r="AU7" s="36">
        <f t="shared" si="34"/>
        <v>1</v>
      </c>
      <c r="AV7" s="36">
        <f t="shared" si="35"/>
        <v>1</v>
      </c>
      <c r="AW7" s="36">
        <f t="shared" si="36"/>
        <v>0</v>
      </c>
      <c r="AX7" s="36">
        <f t="shared" si="37"/>
        <v>0</v>
      </c>
      <c r="AY7" s="42">
        <f t="shared" si="38"/>
        <v>1.3333333333333333</v>
      </c>
      <c r="AZ7" s="42">
        <f t="shared" si="39"/>
        <v>0.5</v>
      </c>
      <c r="BA7" s="42">
        <f t="shared" si="40"/>
        <v>-0.11666666666666667</v>
      </c>
      <c r="BB7" s="36" t="str">
        <f t="shared" si="41"/>
        <v/>
      </c>
    </row>
    <row r="8" spans="1:60" ht="15.75" customHeight="1">
      <c r="A8" s="67" t="str">
        <f>Cтатистика!A13</f>
        <v>23.02.18</v>
      </c>
      <c r="B8" s="68" t="str">
        <f>Cтатистика!B13</f>
        <v>LA</v>
      </c>
      <c r="C8" s="68" t="str">
        <f>Cтатистика!C13</f>
        <v>Atl. Nacional</v>
      </c>
      <c r="D8" s="68" t="str">
        <f>Cтатистика!D13</f>
        <v>America De Cali</v>
      </c>
      <c r="E8" s="69" t="str">
        <f>Cтатистика!E13</f>
        <v>2 : 0</v>
      </c>
      <c r="F8" s="60"/>
      <c r="G8" s="19">
        <f t="shared" si="5"/>
        <v>0</v>
      </c>
      <c r="H8" s="19">
        <f t="shared" si="6"/>
        <v>2</v>
      </c>
      <c r="I8" s="36" t="str">
        <f t="shared" si="7"/>
        <v>П</v>
      </c>
      <c r="J8" s="36" t="str">
        <f t="shared" si="0"/>
        <v>LA</v>
      </c>
      <c r="K8" s="36">
        <f t="shared" si="8"/>
        <v>2</v>
      </c>
      <c r="L8" s="36">
        <f t="shared" si="9"/>
        <v>0</v>
      </c>
      <c r="M8" s="19" t="str">
        <f t="shared" si="1"/>
        <v>2:0</v>
      </c>
      <c r="N8" s="53" t="str">
        <f t="shared" si="2"/>
        <v>Atl. Nacional</v>
      </c>
      <c r="O8" s="53" t="str">
        <f t="shared" si="2"/>
        <v>America De Cali</v>
      </c>
      <c r="P8" s="36">
        <f t="shared" si="10"/>
        <v>2</v>
      </c>
      <c r="Q8" s="36">
        <f t="shared" si="11"/>
        <v>0</v>
      </c>
      <c r="R8" s="36" t="str">
        <f t="shared" si="12"/>
        <v>В гостях</v>
      </c>
      <c r="S8" s="36" t="str">
        <f t="shared" si="3"/>
        <v>П</v>
      </c>
      <c r="T8" s="36">
        <f t="shared" si="4"/>
        <v>0</v>
      </c>
      <c r="U8" s="36">
        <f t="shared" si="4"/>
        <v>2</v>
      </c>
      <c r="V8" s="39">
        <f t="shared" si="13"/>
        <v>5</v>
      </c>
      <c r="W8" s="39">
        <f t="shared" si="42"/>
        <v>1</v>
      </c>
      <c r="X8" s="39">
        <f t="shared" si="14"/>
        <v>0</v>
      </c>
      <c r="Y8" s="39">
        <f t="shared" si="15"/>
        <v>4</v>
      </c>
      <c r="Z8" s="39">
        <f t="shared" si="16"/>
        <v>3</v>
      </c>
      <c r="AA8" s="39">
        <f t="shared" si="16"/>
        <v>10</v>
      </c>
      <c r="AB8" s="39">
        <f t="shared" si="17"/>
        <v>3</v>
      </c>
      <c r="AC8" s="39">
        <f t="shared" si="18"/>
        <v>2</v>
      </c>
      <c r="AD8" s="39">
        <f t="shared" si="19"/>
        <v>1</v>
      </c>
      <c r="AE8" s="39">
        <f t="shared" si="20"/>
        <v>0</v>
      </c>
      <c r="AF8" s="39">
        <f t="shared" si="21"/>
        <v>1</v>
      </c>
      <c r="AG8" s="39">
        <f t="shared" si="22"/>
        <v>2</v>
      </c>
      <c r="AH8" s="39">
        <f t="shared" si="23"/>
        <v>4</v>
      </c>
      <c r="AI8" s="39">
        <f t="shared" si="24"/>
        <v>3</v>
      </c>
      <c r="AJ8" s="39">
        <f t="shared" si="43"/>
        <v>3</v>
      </c>
      <c r="AK8" s="39">
        <f t="shared" si="25"/>
        <v>0</v>
      </c>
      <c r="AL8" s="39">
        <f t="shared" si="26"/>
        <v>0</v>
      </c>
      <c r="AM8" s="39">
        <f t="shared" si="27"/>
        <v>3</v>
      </c>
      <c r="AN8" s="39">
        <f>IF(R8&lt;&gt;"Дома",AN7+T8,AN7+0)</f>
        <v>1</v>
      </c>
      <c r="AO8" s="39">
        <f t="shared" si="29"/>
        <v>6</v>
      </c>
      <c r="AP8" s="39">
        <f t="shared" si="30"/>
        <v>0</v>
      </c>
      <c r="AQ8" s="36">
        <f t="shared" si="44"/>
        <v>1</v>
      </c>
      <c r="AR8" s="36">
        <f t="shared" si="31"/>
        <v>0</v>
      </c>
      <c r="AS8" s="36">
        <f t="shared" si="32"/>
        <v>1</v>
      </c>
      <c r="AT8" s="36">
        <f t="shared" si="33"/>
        <v>0</v>
      </c>
      <c r="AU8" s="36">
        <f t="shared" si="34"/>
        <v>2</v>
      </c>
      <c r="AV8" s="36">
        <f t="shared" si="35"/>
        <v>1</v>
      </c>
      <c r="AW8" s="36">
        <f t="shared" si="36"/>
        <v>0</v>
      </c>
      <c r="AX8" s="36">
        <f t="shared" si="37"/>
        <v>0</v>
      </c>
      <c r="AY8" s="42">
        <f t="shared" si="38"/>
        <v>1.6666666666666667</v>
      </c>
      <c r="AZ8" s="42">
        <f t="shared" si="39"/>
        <v>0.5</v>
      </c>
      <c r="BA8" s="42">
        <f t="shared" si="40"/>
        <v>-0.13333333333333333</v>
      </c>
      <c r="BB8" s="36" t="str">
        <f t="shared" si="41"/>
        <v/>
      </c>
    </row>
    <row r="9" spans="1:60" ht="15.75" customHeight="1">
      <c r="A9" s="70" t="str">
        <f>Cтатистика!A16</f>
        <v>27.01.18</v>
      </c>
      <c r="B9" s="71" t="str">
        <f>Cтатистика!B16</f>
        <v>CF</v>
      </c>
      <c r="C9" s="71" t="str">
        <f>Cтатистика!C16</f>
        <v>Santa Fe</v>
      </c>
      <c r="D9" s="71" t="str">
        <f>Cтатистика!D16</f>
        <v>America De Cali</v>
      </c>
      <c r="E9" s="72" t="str">
        <f>Cтатистика!E16</f>
        <v>0 : 1</v>
      </c>
      <c r="F9" s="60"/>
      <c r="G9" s="19">
        <f t="shared" si="5"/>
        <v>1</v>
      </c>
      <c r="H9" s="19">
        <f t="shared" si="6"/>
        <v>0</v>
      </c>
      <c r="I9" s="36" t="str">
        <f t="shared" si="7"/>
        <v>В</v>
      </c>
      <c r="J9" s="36" t="str">
        <f t="shared" si="0"/>
        <v>CF</v>
      </c>
      <c r="K9" s="36">
        <f t="shared" si="8"/>
        <v>0</v>
      </c>
      <c r="L9" s="36">
        <f t="shared" si="9"/>
        <v>1</v>
      </c>
      <c r="M9" s="19" t="str">
        <f t="shared" si="1"/>
        <v>0:1</v>
      </c>
      <c r="N9" s="53" t="str">
        <f t="shared" si="2"/>
        <v>Santa Fe</v>
      </c>
      <c r="O9" s="53" t="str">
        <f t="shared" si="2"/>
        <v>America De Cali</v>
      </c>
      <c r="P9" s="36">
        <f t="shared" si="10"/>
        <v>0</v>
      </c>
      <c r="Q9" s="36">
        <f t="shared" si="11"/>
        <v>1</v>
      </c>
      <c r="R9" s="36" t="str">
        <f t="shared" si="12"/>
        <v>В гостях</v>
      </c>
      <c r="S9" s="36" t="str">
        <f t="shared" si="3"/>
        <v>В</v>
      </c>
      <c r="T9" s="36">
        <f t="shared" si="4"/>
        <v>1</v>
      </c>
      <c r="U9" s="36">
        <f t="shared" si="4"/>
        <v>0</v>
      </c>
      <c r="V9" s="39">
        <f t="shared" si="13"/>
        <v>6</v>
      </c>
      <c r="W9" s="39">
        <f t="shared" si="42"/>
        <v>2</v>
      </c>
      <c r="X9" s="39">
        <f t="shared" si="14"/>
        <v>0</v>
      </c>
      <c r="Y9" s="39">
        <f t="shared" si="15"/>
        <v>4</v>
      </c>
      <c r="Z9" s="39">
        <f t="shared" si="16"/>
        <v>4</v>
      </c>
      <c r="AA9" s="39">
        <f t="shared" si="16"/>
        <v>10</v>
      </c>
      <c r="AB9" s="39">
        <f t="shared" si="17"/>
        <v>6</v>
      </c>
      <c r="AC9" s="39">
        <f t="shared" si="18"/>
        <v>2</v>
      </c>
      <c r="AD9" s="39">
        <f t="shared" si="19"/>
        <v>1</v>
      </c>
      <c r="AE9" s="39">
        <f t="shared" si="20"/>
        <v>0</v>
      </c>
      <c r="AF9" s="39">
        <f t="shared" si="21"/>
        <v>1</v>
      </c>
      <c r="AG9" s="39">
        <f t="shared" si="22"/>
        <v>2</v>
      </c>
      <c r="AH9" s="39">
        <f t="shared" si="23"/>
        <v>4</v>
      </c>
      <c r="AI9" s="39">
        <f t="shared" si="24"/>
        <v>3</v>
      </c>
      <c r="AJ9" s="39">
        <f t="shared" si="43"/>
        <v>4</v>
      </c>
      <c r="AK9" s="39">
        <f t="shared" si="25"/>
        <v>1</v>
      </c>
      <c r="AL9" s="39">
        <f t="shared" si="26"/>
        <v>0</v>
      </c>
      <c r="AM9" s="39">
        <f t="shared" si="27"/>
        <v>3</v>
      </c>
      <c r="AN9" s="39">
        <f t="shared" si="28"/>
        <v>2</v>
      </c>
      <c r="AO9" s="39">
        <f t="shared" si="29"/>
        <v>6</v>
      </c>
      <c r="AP9" s="39">
        <f t="shared" si="30"/>
        <v>3</v>
      </c>
      <c r="AQ9" s="36">
        <f t="shared" si="44"/>
        <v>1</v>
      </c>
      <c r="AR9" s="36">
        <f t="shared" si="31"/>
        <v>0</v>
      </c>
      <c r="AS9" s="36">
        <f t="shared" si="32"/>
        <v>1</v>
      </c>
      <c r="AT9" s="36">
        <f t="shared" si="33"/>
        <v>0</v>
      </c>
      <c r="AU9" s="36">
        <f t="shared" si="34"/>
        <v>2</v>
      </c>
      <c r="AV9" s="36">
        <f t="shared" si="35"/>
        <v>2</v>
      </c>
      <c r="AW9" s="36">
        <f t="shared" si="36"/>
        <v>0</v>
      </c>
      <c r="AX9" s="36">
        <f t="shared" si="37"/>
        <v>0</v>
      </c>
      <c r="AY9" s="42">
        <f t="shared" si="38"/>
        <v>1.5</v>
      </c>
      <c r="AZ9" s="42">
        <f t="shared" si="39"/>
        <v>0.6</v>
      </c>
      <c r="BA9" s="42">
        <f t="shared" si="40"/>
        <v>-8.3333333333333332E-3</v>
      </c>
      <c r="BB9" s="36" t="str">
        <f t="shared" si="41"/>
        <v/>
      </c>
    </row>
    <row r="10" spans="1:60" ht="15.75" customHeight="1">
      <c r="A10" s="70" t="str">
        <f>Cтатистика!A17</f>
        <v>05.11.17</v>
      </c>
      <c r="B10" s="71" t="str">
        <f>Cтатистика!B17</f>
        <v>LA</v>
      </c>
      <c r="C10" s="71" t="str">
        <f>Cтатистика!C17</f>
        <v>Santa Fe</v>
      </c>
      <c r="D10" s="71" t="str">
        <f>Cтатистика!D17</f>
        <v>America De Cali</v>
      </c>
      <c r="E10" s="72" t="str">
        <f>Cтатистика!E17</f>
        <v>0 : 0</v>
      </c>
      <c r="F10" s="60"/>
      <c r="G10" s="19">
        <f t="shared" si="5"/>
        <v>0</v>
      </c>
      <c r="H10" s="19">
        <f t="shared" si="6"/>
        <v>0</v>
      </c>
      <c r="I10" s="36" t="str">
        <f t="shared" si="7"/>
        <v>Н</v>
      </c>
      <c r="J10" s="36" t="str">
        <f t="shared" si="0"/>
        <v>LA</v>
      </c>
      <c r="K10" s="36">
        <f t="shared" si="8"/>
        <v>0</v>
      </c>
      <c r="L10" s="36">
        <f t="shared" si="9"/>
        <v>0</v>
      </c>
      <c r="M10" s="19" t="str">
        <f t="shared" si="1"/>
        <v>0:0</v>
      </c>
      <c r="N10" s="53" t="str">
        <f t="shared" si="2"/>
        <v>Santa Fe</v>
      </c>
      <c r="O10" s="53" t="str">
        <f t="shared" si="2"/>
        <v>America De Cali</v>
      </c>
      <c r="P10" s="36">
        <f t="shared" si="10"/>
        <v>0</v>
      </c>
      <c r="Q10" s="36">
        <f t="shared" si="11"/>
        <v>0</v>
      </c>
      <c r="R10" s="36" t="str">
        <f t="shared" si="12"/>
        <v>В гостях</v>
      </c>
      <c r="S10" s="36" t="str">
        <f t="shared" si="3"/>
        <v>Н</v>
      </c>
      <c r="T10" s="36">
        <f t="shared" si="4"/>
        <v>0</v>
      </c>
      <c r="U10" s="36">
        <f t="shared" si="4"/>
        <v>0</v>
      </c>
      <c r="V10" s="39">
        <f t="shared" si="13"/>
        <v>7</v>
      </c>
      <c r="W10" s="39">
        <f t="shared" si="42"/>
        <v>2</v>
      </c>
      <c r="X10" s="39">
        <f t="shared" si="14"/>
        <v>1</v>
      </c>
      <c r="Y10" s="39">
        <f t="shared" si="15"/>
        <v>4</v>
      </c>
      <c r="Z10" s="39">
        <f t="shared" si="16"/>
        <v>4</v>
      </c>
      <c r="AA10" s="39">
        <f t="shared" si="16"/>
        <v>10</v>
      </c>
      <c r="AB10" s="39">
        <f t="shared" si="17"/>
        <v>7</v>
      </c>
      <c r="AC10" s="39">
        <f t="shared" si="18"/>
        <v>2</v>
      </c>
      <c r="AD10" s="39">
        <f t="shared" si="19"/>
        <v>1</v>
      </c>
      <c r="AE10" s="39">
        <f t="shared" si="20"/>
        <v>0</v>
      </c>
      <c r="AF10" s="39">
        <f t="shared" si="21"/>
        <v>1</v>
      </c>
      <c r="AG10" s="39">
        <f t="shared" si="22"/>
        <v>2</v>
      </c>
      <c r="AH10" s="39">
        <f t="shared" si="23"/>
        <v>4</v>
      </c>
      <c r="AI10" s="39">
        <f t="shared" si="24"/>
        <v>3</v>
      </c>
      <c r="AJ10" s="39">
        <f t="shared" si="43"/>
        <v>5</v>
      </c>
      <c r="AK10" s="39">
        <f t="shared" si="25"/>
        <v>1</v>
      </c>
      <c r="AL10" s="39">
        <f t="shared" si="26"/>
        <v>1</v>
      </c>
      <c r="AM10" s="39">
        <f t="shared" si="27"/>
        <v>3</v>
      </c>
      <c r="AN10" s="39">
        <f t="shared" si="28"/>
        <v>2</v>
      </c>
      <c r="AO10" s="39">
        <f t="shared" si="29"/>
        <v>6</v>
      </c>
      <c r="AP10" s="39">
        <f t="shared" si="30"/>
        <v>4</v>
      </c>
      <c r="AQ10" s="36">
        <f t="shared" si="44"/>
        <v>1</v>
      </c>
      <c r="AR10" s="36">
        <f t="shared" si="31"/>
        <v>0</v>
      </c>
      <c r="AS10" s="36">
        <f t="shared" si="32"/>
        <v>1</v>
      </c>
      <c r="AT10" s="36">
        <f t="shared" si="33"/>
        <v>0</v>
      </c>
      <c r="AU10" s="36">
        <f t="shared" si="34"/>
        <v>3</v>
      </c>
      <c r="AV10" s="36">
        <f t="shared" si="35"/>
        <v>2</v>
      </c>
      <c r="AW10" s="36">
        <f t="shared" si="36"/>
        <v>0</v>
      </c>
      <c r="AX10" s="36">
        <f t="shared" si="37"/>
        <v>0</v>
      </c>
      <c r="AY10" s="42">
        <f t="shared" si="38"/>
        <v>1.75</v>
      </c>
      <c r="AZ10" s="42">
        <f t="shared" si="39"/>
        <v>0.7</v>
      </c>
      <c r="BA10" s="42">
        <f t="shared" si="40"/>
        <v>6.6666666666667174E-3</v>
      </c>
      <c r="BB10" s="36" t="str">
        <f t="shared" si="41"/>
        <v/>
      </c>
    </row>
    <row r="11" spans="1:60" ht="15.75" customHeight="1">
      <c r="A11" s="70" t="str">
        <f>Cтатистика!A18</f>
        <v>28.04.17</v>
      </c>
      <c r="B11" s="71" t="str">
        <f>Cтатистика!B18</f>
        <v>LA</v>
      </c>
      <c r="C11" s="71" t="str">
        <f>Cтатистика!C18</f>
        <v>America De Cali</v>
      </c>
      <c r="D11" s="71" t="str">
        <f>Cтатистика!D18</f>
        <v>Santa Fe</v>
      </c>
      <c r="E11" s="72" t="str">
        <f>Cтатистика!E18</f>
        <v>0 : 1</v>
      </c>
      <c r="F11" s="60"/>
      <c r="G11" s="19">
        <f t="shared" si="5"/>
        <v>0</v>
      </c>
      <c r="H11" s="19">
        <f t="shared" si="6"/>
        <v>1</v>
      </c>
      <c r="I11" s="36" t="str">
        <f t="shared" si="7"/>
        <v>П</v>
      </c>
      <c r="J11" s="36" t="str">
        <f t="shared" si="0"/>
        <v>LA</v>
      </c>
      <c r="K11" s="36">
        <f t="shared" si="8"/>
        <v>0</v>
      </c>
      <c r="L11" s="36">
        <f t="shared" si="9"/>
        <v>1</v>
      </c>
      <c r="M11" s="19" t="str">
        <f t="shared" si="1"/>
        <v>0:1</v>
      </c>
      <c r="N11" s="53" t="str">
        <f t="shared" si="2"/>
        <v>America De Cali</v>
      </c>
      <c r="O11" s="53" t="str">
        <f t="shared" si="2"/>
        <v>Santa Fe</v>
      </c>
      <c r="P11" s="36">
        <f t="shared" si="10"/>
        <v>0</v>
      </c>
      <c r="Q11" s="36">
        <f t="shared" si="11"/>
        <v>1</v>
      </c>
      <c r="R11" s="36" t="str">
        <f t="shared" si="12"/>
        <v>Дома</v>
      </c>
      <c r="S11" s="36" t="str">
        <f t="shared" si="3"/>
        <v>П</v>
      </c>
      <c r="T11" s="36">
        <f t="shared" si="4"/>
        <v>0</v>
      </c>
      <c r="U11" s="36">
        <f t="shared" si="4"/>
        <v>1</v>
      </c>
      <c r="V11" s="39">
        <f t="shared" si="13"/>
        <v>8</v>
      </c>
      <c r="W11" s="39">
        <f t="shared" si="42"/>
        <v>2</v>
      </c>
      <c r="X11" s="39">
        <f t="shared" si="14"/>
        <v>1</v>
      </c>
      <c r="Y11" s="39">
        <f t="shared" si="15"/>
        <v>5</v>
      </c>
      <c r="Z11" s="39">
        <f t="shared" si="16"/>
        <v>4</v>
      </c>
      <c r="AA11" s="39">
        <f t="shared" si="16"/>
        <v>11</v>
      </c>
      <c r="AB11" s="39">
        <f t="shared" si="17"/>
        <v>7</v>
      </c>
      <c r="AC11" s="39">
        <f t="shared" si="18"/>
        <v>3</v>
      </c>
      <c r="AD11" s="39">
        <f t="shared" si="19"/>
        <v>1</v>
      </c>
      <c r="AE11" s="39">
        <f t="shared" si="20"/>
        <v>0</v>
      </c>
      <c r="AF11" s="39">
        <f t="shared" si="21"/>
        <v>2</v>
      </c>
      <c r="AG11" s="39">
        <f>IF(R11="Дома",AG10+T11,AG10+0)</f>
        <v>2</v>
      </c>
      <c r="AH11" s="39">
        <f t="shared" si="23"/>
        <v>5</v>
      </c>
      <c r="AI11" s="39">
        <f t="shared" si="24"/>
        <v>3</v>
      </c>
      <c r="AJ11" s="39">
        <f t="shared" si="43"/>
        <v>5</v>
      </c>
      <c r="AK11" s="39">
        <f t="shared" si="25"/>
        <v>1</v>
      </c>
      <c r="AL11" s="39">
        <f t="shared" si="26"/>
        <v>1</v>
      </c>
      <c r="AM11" s="39">
        <f t="shared" si="27"/>
        <v>3</v>
      </c>
      <c r="AN11" s="39">
        <f t="shared" si="28"/>
        <v>2</v>
      </c>
      <c r="AO11" s="39">
        <f t="shared" si="29"/>
        <v>6</v>
      </c>
      <c r="AP11" s="39">
        <f t="shared" si="30"/>
        <v>4</v>
      </c>
      <c r="AQ11" s="36">
        <f t="shared" si="44"/>
        <v>2</v>
      </c>
      <c r="AR11" s="36">
        <f t="shared" si="31"/>
        <v>0</v>
      </c>
      <c r="AS11" s="36">
        <f t="shared" si="32"/>
        <v>1</v>
      </c>
      <c r="AT11" s="36">
        <f t="shared" si="33"/>
        <v>0</v>
      </c>
      <c r="AU11" s="36">
        <f t="shared" si="34"/>
        <v>3</v>
      </c>
      <c r="AV11" s="36">
        <f t="shared" si="35"/>
        <v>2</v>
      </c>
      <c r="AW11" s="36">
        <f t="shared" si="36"/>
        <v>0</v>
      </c>
      <c r="AX11" s="36">
        <f t="shared" si="37"/>
        <v>0</v>
      </c>
      <c r="AY11" s="42">
        <f t="shared" si="38"/>
        <v>2</v>
      </c>
      <c r="AZ11" s="42">
        <f t="shared" si="39"/>
        <v>0.72727272727272729</v>
      </c>
      <c r="BA11" s="42">
        <f t="shared" si="40"/>
        <v>-1.5555555555555545E-2</v>
      </c>
      <c r="BB11" s="36">
        <f t="shared" si="41"/>
        <v>1</v>
      </c>
    </row>
    <row r="12" spans="1:60" ht="15.75" customHeight="1">
      <c r="A12" s="70" t="str">
        <f>Cтатистика!A19</f>
        <v>13.10.11</v>
      </c>
      <c r="B12" s="71" t="str">
        <f>Cтатистика!B19</f>
        <v>LA</v>
      </c>
      <c r="C12" s="71" t="str">
        <f>Cтатистика!C19</f>
        <v>Santa Fe</v>
      </c>
      <c r="D12" s="71" t="str">
        <f>Cтатистика!D19</f>
        <v>America De Cali</v>
      </c>
      <c r="E12" s="72" t="str">
        <f>Cтатистика!E19</f>
        <v>0 : 1</v>
      </c>
      <c r="F12" s="60"/>
      <c r="G12" s="19">
        <f t="shared" si="5"/>
        <v>1</v>
      </c>
      <c r="H12" s="19">
        <f t="shared" si="6"/>
        <v>0</v>
      </c>
      <c r="I12" s="36" t="str">
        <f t="shared" si="7"/>
        <v>В</v>
      </c>
      <c r="J12" s="36" t="str">
        <f t="shared" si="0"/>
        <v>LA</v>
      </c>
      <c r="K12" s="36">
        <f t="shared" si="8"/>
        <v>0</v>
      </c>
      <c r="L12" s="36">
        <f t="shared" si="9"/>
        <v>1</v>
      </c>
      <c r="M12" s="19" t="str">
        <f t="shared" si="1"/>
        <v>0:1</v>
      </c>
      <c r="N12" s="53" t="str">
        <f t="shared" si="2"/>
        <v>Santa Fe</v>
      </c>
      <c r="O12" s="53" t="str">
        <f t="shared" si="2"/>
        <v>America De Cali</v>
      </c>
      <c r="P12" s="36">
        <f t="shared" si="10"/>
        <v>0</v>
      </c>
      <c r="Q12" s="36">
        <f t="shared" si="11"/>
        <v>1</v>
      </c>
      <c r="R12" s="36" t="str">
        <f t="shared" si="12"/>
        <v>В гостях</v>
      </c>
      <c r="S12" s="36" t="str">
        <f t="shared" si="3"/>
        <v>В</v>
      </c>
      <c r="T12" s="36">
        <f t="shared" si="4"/>
        <v>1</v>
      </c>
      <c r="U12" s="36">
        <f t="shared" si="4"/>
        <v>0</v>
      </c>
      <c r="V12" s="39">
        <f t="shared" si="13"/>
        <v>9</v>
      </c>
      <c r="W12" s="39">
        <f t="shared" si="42"/>
        <v>3</v>
      </c>
      <c r="X12" s="39">
        <f t="shared" si="14"/>
        <v>1</v>
      </c>
      <c r="Y12" s="39">
        <f t="shared" si="15"/>
        <v>5</v>
      </c>
      <c r="Z12" s="39">
        <f t="shared" si="16"/>
        <v>5</v>
      </c>
      <c r="AA12" s="39">
        <f t="shared" si="16"/>
        <v>11</v>
      </c>
      <c r="AB12" s="39">
        <f t="shared" si="17"/>
        <v>10</v>
      </c>
      <c r="AC12" s="39">
        <f t="shared" si="18"/>
        <v>3</v>
      </c>
      <c r="AD12" s="39">
        <f t="shared" si="19"/>
        <v>1</v>
      </c>
      <c r="AE12" s="39">
        <f t="shared" si="20"/>
        <v>0</v>
      </c>
      <c r="AF12" s="39">
        <f t="shared" si="21"/>
        <v>2</v>
      </c>
      <c r="AG12" s="39">
        <f t="shared" si="22"/>
        <v>2</v>
      </c>
      <c r="AH12" s="39">
        <f t="shared" si="23"/>
        <v>5</v>
      </c>
      <c r="AI12" s="39">
        <f t="shared" si="24"/>
        <v>3</v>
      </c>
      <c r="AJ12" s="39">
        <f t="shared" si="43"/>
        <v>6</v>
      </c>
      <c r="AK12" s="39">
        <f t="shared" si="25"/>
        <v>2</v>
      </c>
      <c r="AL12" s="39">
        <f t="shared" si="26"/>
        <v>1</v>
      </c>
      <c r="AM12" s="39">
        <f t="shared" si="27"/>
        <v>3</v>
      </c>
      <c r="AN12" s="39">
        <f t="shared" si="28"/>
        <v>3</v>
      </c>
      <c r="AO12" s="39">
        <f t="shared" si="29"/>
        <v>6</v>
      </c>
      <c r="AP12" s="39">
        <f t="shared" si="30"/>
        <v>7</v>
      </c>
      <c r="AQ12" s="36">
        <f t="shared" si="44"/>
        <v>2</v>
      </c>
      <c r="AR12" s="36">
        <f t="shared" si="31"/>
        <v>0</v>
      </c>
      <c r="AS12" s="36">
        <f t="shared" si="32"/>
        <v>1</v>
      </c>
      <c r="AT12" s="36">
        <f t="shared" si="33"/>
        <v>0</v>
      </c>
      <c r="AU12" s="36">
        <f t="shared" si="34"/>
        <v>3</v>
      </c>
      <c r="AV12" s="36">
        <f t="shared" si="35"/>
        <v>3</v>
      </c>
      <c r="AW12" s="36">
        <f t="shared" si="36"/>
        <v>0</v>
      </c>
      <c r="AX12" s="36">
        <f t="shared" si="37"/>
        <v>0</v>
      </c>
      <c r="AY12" s="42">
        <f t="shared" si="38"/>
        <v>1.8</v>
      </c>
      <c r="AZ12" s="42">
        <f t="shared" si="39"/>
        <v>0.81818181818181823</v>
      </c>
      <c r="BA12" s="42">
        <f t="shared" si="40"/>
        <v>4.4444444444444405E-2</v>
      </c>
      <c r="BB12" s="36" t="str">
        <f t="shared" si="41"/>
        <v/>
      </c>
    </row>
    <row r="13" spans="1:60" ht="15.75" customHeight="1">
      <c r="A13" s="70" t="str">
        <f>Cтатистика!A20</f>
        <v>20.03.11</v>
      </c>
      <c r="B13" s="71" t="str">
        <f>Cтатистика!B20</f>
        <v>LA</v>
      </c>
      <c r="C13" s="71" t="str">
        <f>Cтатистика!C20</f>
        <v>America De Cali</v>
      </c>
      <c r="D13" s="71" t="str">
        <f>Cтатистика!D20</f>
        <v>Santa Fe</v>
      </c>
      <c r="E13" s="72" t="str">
        <f>Cтатистика!E20</f>
        <v>2 : 0</v>
      </c>
      <c r="F13" s="60"/>
      <c r="G13" s="19">
        <f t="shared" si="5"/>
        <v>2</v>
      </c>
      <c r="H13" s="19">
        <f t="shared" si="6"/>
        <v>0</v>
      </c>
      <c r="I13" s="36" t="str">
        <f t="shared" si="7"/>
        <v>В</v>
      </c>
      <c r="J13" s="36" t="str">
        <f t="shared" si="0"/>
        <v>LA</v>
      </c>
      <c r="K13" s="36">
        <f t="shared" si="8"/>
        <v>2</v>
      </c>
      <c r="L13" s="36">
        <f t="shared" si="9"/>
        <v>0</v>
      </c>
      <c r="M13" s="19" t="str">
        <f t="shared" si="1"/>
        <v>2:0</v>
      </c>
      <c r="N13" s="53" t="str">
        <f t="shared" si="2"/>
        <v>America De Cali</v>
      </c>
      <c r="O13" s="53" t="str">
        <f t="shared" si="2"/>
        <v>Santa Fe</v>
      </c>
      <c r="P13" s="36">
        <f t="shared" si="10"/>
        <v>2</v>
      </c>
      <c r="Q13" s="36">
        <f t="shared" si="11"/>
        <v>0</v>
      </c>
      <c r="R13" s="36" t="str">
        <f t="shared" si="12"/>
        <v>Дома</v>
      </c>
      <c r="S13" s="36" t="str">
        <f t="shared" si="3"/>
        <v>В</v>
      </c>
      <c r="T13" s="36">
        <f t="shared" si="4"/>
        <v>2</v>
      </c>
      <c r="U13" s="36">
        <f t="shared" si="4"/>
        <v>0</v>
      </c>
      <c r="V13" s="39">
        <f t="shared" si="13"/>
        <v>10</v>
      </c>
      <c r="W13" s="39">
        <f t="shared" si="42"/>
        <v>4</v>
      </c>
      <c r="X13" s="39">
        <f t="shared" si="14"/>
        <v>1</v>
      </c>
      <c r="Y13" s="39">
        <f t="shared" si="15"/>
        <v>5</v>
      </c>
      <c r="Z13" s="39">
        <f t="shared" si="16"/>
        <v>7</v>
      </c>
      <c r="AA13" s="39">
        <f t="shared" si="16"/>
        <v>11</v>
      </c>
      <c r="AB13" s="39">
        <f t="shared" si="17"/>
        <v>13</v>
      </c>
      <c r="AC13" s="39">
        <f t="shared" si="18"/>
        <v>4</v>
      </c>
      <c r="AD13" s="39">
        <f t="shared" si="19"/>
        <v>2</v>
      </c>
      <c r="AE13" s="39">
        <f t="shared" si="20"/>
        <v>0</v>
      </c>
      <c r="AF13" s="39">
        <f t="shared" si="21"/>
        <v>2</v>
      </c>
      <c r="AG13" s="39">
        <f t="shared" si="22"/>
        <v>4</v>
      </c>
      <c r="AH13" s="39">
        <f t="shared" si="23"/>
        <v>5</v>
      </c>
      <c r="AI13" s="39">
        <f t="shared" si="24"/>
        <v>6</v>
      </c>
      <c r="AJ13" s="39">
        <f t="shared" si="43"/>
        <v>6</v>
      </c>
      <c r="AK13" s="39">
        <f t="shared" si="25"/>
        <v>2</v>
      </c>
      <c r="AL13" s="39">
        <f t="shared" si="26"/>
        <v>1</v>
      </c>
      <c r="AM13" s="39">
        <f t="shared" si="27"/>
        <v>3</v>
      </c>
      <c r="AN13" s="39">
        <f t="shared" si="28"/>
        <v>3</v>
      </c>
      <c r="AO13" s="39">
        <f t="shared" si="29"/>
        <v>6</v>
      </c>
      <c r="AP13" s="39">
        <f t="shared" si="30"/>
        <v>7</v>
      </c>
      <c r="AQ13" s="36">
        <f t="shared" si="44"/>
        <v>2</v>
      </c>
      <c r="AR13" s="36">
        <f t="shared" si="31"/>
        <v>0</v>
      </c>
      <c r="AS13" s="36">
        <f t="shared" si="32"/>
        <v>2</v>
      </c>
      <c r="AT13" s="36">
        <f t="shared" si="33"/>
        <v>0</v>
      </c>
      <c r="AU13" s="36">
        <f t="shared" si="34"/>
        <v>3</v>
      </c>
      <c r="AV13" s="36">
        <f t="shared" si="35"/>
        <v>3</v>
      </c>
      <c r="AW13" s="36">
        <f t="shared" si="36"/>
        <v>0</v>
      </c>
      <c r="AX13" s="36">
        <f t="shared" si="37"/>
        <v>0</v>
      </c>
      <c r="AY13" s="42">
        <f t="shared" si="38"/>
        <v>1.4285714285714286</v>
      </c>
      <c r="AZ13" s="42">
        <f t="shared" si="39"/>
        <v>0.90909090909090906</v>
      </c>
      <c r="BA13" s="42">
        <f t="shared" si="40"/>
        <v>0.14166666666666666</v>
      </c>
      <c r="BB13" s="36">
        <f t="shared" si="41"/>
        <v>2</v>
      </c>
    </row>
    <row r="14" spans="1:60" s="14" customFormat="1" ht="15.75" hidden="1" customHeight="1" outlineLevel="1">
      <c r="A14" s="61">
        <v>42058</v>
      </c>
      <c r="B14" s="62" t="s">
        <v>162</v>
      </c>
      <c r="C14" s="62" t="s">
        <v>164</v>
      </c>
      <c r="D14" s="62" t="s">
        <v>166</v>
      </c>
      <c r="E14" s="63" t="s">
        <v>161</v>
      </c>
      <c r="F14" s="62"/>
      <c r="G14" s="43">
        <v>1</v>
      </c>
      <c r="H14" s="44" t="str">
        <f>IF(S4="В",IF(T4-U4&gt;1.5,"EW","W"),"ЛОЛ")</f>
        <v>W</v>
      </c>
      <c r="I14" s="44" t="str">
        <f>IF(H14="ЛОЛ",J14,H14)</f>
        <v>W</v>
      </c>
      <c r="J14" s="45" t="str">
        <f>IF(S4="П",IF(((T4-U4)*(-1))&lt;1.5,"L","HL"),"D")</f>
        <v>D</v>
      </c>
      <c r="K14" s="36"/>
      <c r="L14" s="36"/>
      <c r="M14" s="19"/>
      <c r="N14" s="53"/>
      <c r="O14" s="53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42"/>
      <c r="AZ14" s="42"/>
      <c r="BA14" s="42"/>
      <c r="BB14" s="36"/>
      <c r="BC14" s="37"/>
      <c r="BD14" s="31"/>
      <c r="BE14" s="31"/>
      <c r="BF14" s="31"/>
      <c r="BG14" s="31"/>
      <c r="BH14" s="31"/>
    </row>
    <row r="15" spans="1:60" s="14" customFormat="1" ht="15.75" hidden="1" customHeight="1" outlineLevel="1">
      <c r="A15" s="61">
        <v>42049</v>
      </c>
      <c r="B15" s="62" t="s">
        <v>167</v>
      </c>
      <c r="C15" s="62" t="s">
        <v>166</v>
      </c>
      <c r="D15" s="62" t="s">
        <v>168</v>
      </c>
      <c r="E15" s="63" t="s">
        <v>156</v>
      </c>
      <c r="F15" s="62"/>
      <c r="G15" s="46">
        <v>2</v>
      </c>
      <c r="H15" s="35" t="str">
        <f>IF(S5="В",IF(T5-U5&gt;1.5,"EW","W"),"ЛОЛ")</f>
        <v>ЛОЛ</v>
      </c>
      <c r="I15" s="35" t="str">
        <f t="shared" ref="I15:I18" si="45">IF(H15="ЛОЛ",J15,H15)</f>
        <v>L</v>
      </c>
      <c r="J15" s="47" t="str">
        <f>IF(S5="П",IF(((T5-U5)*(-1))&lt;1.5,"L","HL"),"D")</f>
        <v>L</v>
      </c>
      <c r="K15" s="36"/>
      <c r="L15" s="36"/>
      <c r="M15" s="19"/>
      <c r="N15" s="53"/>
      <c r="O15" s="53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42"/>
      <c r="AZ15" s="42"/>
      <c r="BA15" s="42"/>
      <c r="BB15" s="36"/>
      <c r="BC15" s="36"/>
      <c r="BD15" s="31"/>
      <c r="BE15" s="31"/>
      <c r="BF15" s="31"/>
      <c r="BG15" s="31"/>
      <c r="BH15" s="31"/>
    </row>
    <row r="16" spans="1:60" s="14" customFormat="1" ht="15.75" hidden="1" customHeight="1" outlineLevel="1">
      <c r="A16" s="61">
        <v>42049</v>
      </c>
      <c r="B16" s="62" t="s">
        <v>167</v>
      </c>
      <c r="C16" s="62" t="s">
        <v>166</v>
      </c>
      <c r="D16" s="62" t="s">
        <v>169</v>
      </c>
      <c r="E16" s="63" t="s">
        <v>137</v>
      </c>
      <c r="F16" s="62"/>
      <c r="G16" s="46">
        <v>3</v>
      </c>
      <c r="H16" s="35" t="str">
        <f>IF(S6="В",IF(T6-U6&gt;1.5,"EW","W"),"ЛОЛ")</f>
        <v>ЛОЛ</v>
      </c>
      <c r="I16" s="35" t="str">
        <f t="shared" si="45"/>
        <v>HL</v>
      </c>
      <c r="J16" s="47" t="str">
        <f>IF(S6="П",IF(((T6-U6)*(-1))&lt;1.5,"L","HL"),"D")</f>
        <v>HL</v>
      </c>
      <c r="K16" s="36"/>
      <c r="L16" s="36"/>
      <c r="M16" s="19"/>
      <c r="N16" s="53"/>
      <c r="O16" s="53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42"/>
      <c r="AZ16" s="42"/>
      <c r="BA16" s="42"/>
      <c r="BB16" s="36"/>
      <c r="BC16" s="36"/>
      <c r="BD16" s="31"/>
      <c r="BE16" s="31"/>
      <c r="BF16" s="31"/>
      <c r="BG16" s="31"/>
      <c r="BH16" s="31"/>
    </row>
    <row r="17" spans="1:60" s="14" customFormat="1" ht="15.75" hidden="1" customHeight="1" outlineLevel="1">
      <c r="A17" s="61">
        <v>42043</v>
      </c>
      <c r="B17" s="62" t="s">
        <v>167</v>
      </c>
      <c r="C17" s="62" t="s">
        <v>166</v>
      </c>
      <c r="D17" s="62" t="s">
        <v>170</v>
      </c>
      <c r="E17" s="64" t="s">
        <v>158</v>
      </c>
      <c r="F17" s="62"/>
      <c r="G17" s="46">
        <v>4</v>
      </c>
      <c r="H17" s="35" t="str">
        <f>IF(S7="В",IF(T7-U7&gt;1.5,"EW","W"),"ЛОЛ")</f>
        <v>ЛОЛ</v>
      </c>
      <c r="I17" s="35" t="str">
        <f t="shared" si="45"/>
        <v>HL</v>
      </c>
      <c r="J17" s="47" t="str">
        <f>IF(S7="П",IF(((T7-U7)*(-1))&lt;1.5,"L","HL"),"D")</f>
        <v>HL</v>
      </c>
      <c r="K17" s="36"/>
      <c r="L17" s="36"/>
      <c r="M17" s="19"/>
      <c r="N17" s="53"/>
      <c r="O17" s="53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42"/>
      <c r="AZ17" s="42"/>
      <c r="BA17" s="42"/>
      <c r="BB17" s="36"/>
      <c r="BC17" s="36"/>
      <c r="BD17" s="31"/>
      <c r="BE17" s="31"/>
      <c r="BF17" s="31"/>
      <c r="BG17" s="31"/>
      <c r="BH17" s="31"/>
    </row>
    <row r="18" spans="1:60" s="14" customFormat="1" ht="15.75" hidden="1" customHeight="1" outlineLevel="1" thickBot="1">
      <c r="A18" s="61"/>
      <c r="B18" s="62"/>
      <c r="C18" s="62"/>
      <c r="D18" s="62"/>
      <c r="E18" s="64"/>
      <c r="F18" s="62"/>
      <c r="G18" s="48">
        <v>5</v>
      </c>
      <c r="H18" s="49" t="str">
        <f>IF(S8="В",IF(T8-U8&gt;1.5,"EW","W"),"ЛОЛ")</f>
        <v>ЛОЛ</v>
      </c>
      <c r="I18" s="49" t="str">
        <f t="shared" si="45"/>
        <v>HL</v>
      </c>
      <c r="J18" s="50" t="str">
        <f>IF(S8="П",IF(((T8-U8)*(-1))&lt;1.5,"L","HL"),"D")</f>
        <v>HL</v>
      </c>
      <c r="K18" s="36"/>
      <c r="L18" s="36"/>
      <c r="M18" s="19"/>
      <c r="N18" s="53"/>
      <c r="O18" s="53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42"/>
      <c r="AZ18" s="42"/>
      <c r="BA18" s="42"/>
      <c r="BB18" s="36"/>
      <c r="BC18" s="36"/>
      <c r="BD18" s="31"/>
      <c r="BE18" s="31"/>
      <c r="BF18" s="31"/>
      <c r="BG18" s="31"/>
      <c r="BH18" s="31"/>
    </row>
    <row r="19" spans="1:60" s="14" customFormat="1" ht="15.75" hidden="1" customHeight="1" outlineLevel="1">
      <c r="A19" s="62"/>
      <c r="B19" s="62"/>
      <c r="C19" s="62"/>
      <c r="D19" s="62"/>
      <c r="E19" s="63"/>
      <c r="F19" s="60"/>
      <c r="G19" s="19"/>
      <c r="H19" s="19"/>
      <c r="I19" s="36"/>
      <c r="J19" s="36"/>
      <c r="K19" s="36"/>
      <c r="L19" s="36"/>
      <c r="M19" s="19"/>
      <c r="N19" s="53"/>
      <c r="O19" s="53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42"/>
      <c r="AZ19" s="42"/>
      <c r="BA19" s="42"/>
      <c r="BB19" s="36"/>
      <c r="BC19" s="36"/>
      <c r="BD19" s="31"/>
      <c r="BE19" s="31"/>
      <c r="BF19" s="31"/>
      <c r="BG19" s="31"/>
      <c r="BH19" s="31"/>
    </row>
    <row r="20" spans="1:60" s="14" customFormat="1" ht="15.75" hidden="1" customHeight="1" outlineLevel="1">
      <c r="A20" s="62"/>
      <c r="B20" s="62"/>
      <c r="C20" s="62"/>
      <c r="D20" s="62"/>
      <c r="E20" s="63"/>
      <c r="F20" s="60"/>
      <c r="G20" s="19"/>
      <c r="H20" s="19"/>
      <c r="I20" s="36"/>
      <c r="J20" s="36"/>
      <c r="K20" s="36"/>
      <c r="L20" s="36"/>
      <c r="M20" s="19"/>
      <c r="N20" s="53"/>
      <c r="O20" s="53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42"/>
      <c r="AZ20" s="42"/>
      <c r="BA20" s="42"/>
      <c r="BB20" s="36"/>
      <c r="BC20" s="36"/>
      <c r="BD20" s="31"/>
      <c r="BE20" s="31"/>
      <c r="BF20" s="31"/>
      <c r="BG20" s="31"/>
      <c r="BH20" s="31"/>
    </row>
    <row r="21" spans="1:60" s="14" customFormat="1" ht="15.75" hidden="1" customHeight="1" outlineLevel="1">
      <c r="A21" s="61"/>
      <c r="B21" s="62"/>
      <c r="C21" s="62"/>
      <c r="D21" s="62"/>
      <c r="E21" s="63"/>
      <c r="F21" s="60"/>
      <c r="G21" s="19"/>
      <c r="H21" s="19"/>
      <c r="I21" s="36"/>
      <c r="J21" s="36"/>
      <c r="K21" s="36"/>
      <c r="L21" s="36"/>
      <c r="M21" s="19"/>
      <c r="N21" s="53"/>
      <c r="O21" s="53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42"/>
      <c r="AZ21" s="42"/>
      <c r="BA21" s="42"/>
      <c r="BB21" s="36"/>
      <c r="BC21" s="36"/>
      <c r="BD21" s="31"/>
      <c r="BE21" s="31"/>
      <c r="BF21" s="31"/>
      <c r="BG21" s="31"/>
      <c r="BH21" s="31"/>
    </row>
    <row r="22" spans="1:60" s="14" customFormat="1" ht="15.75" hidden="1" customHeight="1" outlineLevel="1">
      <c r="A22" s="62"/>
      <c r="B22" s="62"/>
      <c r="C22" s="62"/>
      <c r="D22" s="62"/>
      <c r="E22" s="63"/>
      <c r="F22" s="60"/>
      <c r="G22" s="19"/>
      <c r="H22" s="19"/>
      <c r="I22" s="36"/>
      <c r="J22" s="36"/>
      <c r="K22" s="36"/>
      <c r="L22" s="36"/>
      <c r="M22" s="19"/>
      <c r="N22" s="53"/>
      <c r="O22" s="53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42"/>
      <c r="AZ22" s="42"/>
      <c r="BA22" s="42"/>
      <c r="BB22" s="36"/>
      <c r="BC22" s="36"/>
      <c r="BD22" s="31"/>
      <c r="BE22" s="31"/>
      <c r="BF22" s="31"/>
      <c r="BG22" s="31"/>
      <c r="BH22" s="31"/>
    </row>
    <row r="23" spans="1:60" s="14" customFormat="1" ht="15.75" hidden="1" customHeight="1" outlineLevel="1">
      <c r="A23" s="62"/>
      <c r="B23" s="62"/>
      <c r="C23" s="62"/>
      <c r="D23" s="62"/>
      <c r="E23" s="63"/>
      <c r="F23" s="60"/>
      <c r="G23" s="19"/>
      <c r="H23" s="19"/>
      <c r="I23" s="36"/>
      <c r="J23" s="36"/>
      <c r="K23" s="36"/>
      <c r="L23" s="36"/>
      <c r="M23" s="19"/>
      <c r="N23" s="53"/>
      <c r="O23" s="53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42"/>
      <c r="AZ23" s="42"/>
      <c r="BA23" s="42"/>
      <c r="BB23" s="36"/>
      <c r="BC23" s="36"/>
      <c r="BD23" s="31"/>
      <c r="BE23" s="31"/>
      <c r="BF23" s="31"/>
      <c r="BG23" s="31"/>
      <c r="BH23" s="31"/>
    </row>
    <row r="24" spans="1:60" ht="15.75" customHeight="1" collapsed="1">
      <c r="A24" s="151"/>
      <c r="B24" s="151"/>
      <c r="C24" s="151"/>
      <c r="D24" s="151"/>
      <c r="E24" s="151"/>
      <c r="BD24" s="32"/>
      <c r="BE24" s="32"/>
      <c r="BF24" s="32"/>
      <c r="BG24" s="32"/>
      <c r="BH24" s="32"/>
    </row>
    <row r="25" spans="1:60" ht="15.75" customHeight="1">
      <c r="A25" s="151"/>
      <c r="B25" s="151"/>
      <c r="C25" s="151"/>
      <c r="D25" s="151"/>
      <c r="E25" s="151"/>
      <c r="BD25" s="32"/>
      <c r="BE25" s="32"/>
      <c r="BF25" s="32"/>
      <c r="BG25" s="32"/>
      <c r="BH25" s="32"/>
    </row>
    <row r="26" spans="1:60" ht="15.75" customHeight="1">
      <c r="A26" s="151"/>
      <c r="B26" s="151"/>
      <c r="C26" s="151"/>
      <c r="D26" s="151"/>
      <c r="E26" s="151"/>
      <c r="BD26" s="32"/>
      <c r="BE26" s="32"/>
      <c r="BF26" s="32"/>
      <c r="BG26" s="32"/>
      <c r="BH26" s="32"/>
    </row>
    <row r="27" spans="1:60" ht="15.75" customHeight="1">
      <c r="A27" s="151"/>
      <c r="B27" s="151"/>
      <c r="C27" s="151"/>
      <c r="D27" s="151"/>
      <c r="E27" s="151"/>
      <c r="BD27" s="32"/>
      <c r="BE27" s="32"/>
      <c r="BF27" s="32"/>
      <c r="BG27" s="32"/>
      <c r="BH27" s="32"/>
    </row>
    <row r="28" spans="1:60" s="33" customFormat="1" ht="15.75" customHeight="1">
      <c r="A28" s="151"/>
      <c r="B28" s="151"/>
      <c r="C28" s="151"/>
      <c r="D28" s="151"/>
      <c r="E28" s="151"/>
      <c r="F28" s="40"/>
      <c r="G28" s="40"/>
      <c r="H28" s="40"/>
      <c r="I28" s="40"/>
      <c r="J28" s="40"/>
      <c r="K28" s="40"/>
      <c r="L28" s="40"/>
      <c r="M28" s="40"/>
      <c r="N28" s="56"/>
      <c r="O28" s="56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37"/>
      <c r="BD28" s="32"/>
      <c r="BE28" s="32"/>
      <c r="BF28" s="32"/>
      <c r="BG28" s="32"/>
      <c r="BH28" s="32"/>
    </row>
    <row r="29" spans="1:60" s="33" customFormat="1" ht="15.75" customHeight="1">
      <c r="A29" s="30"/>
      <c r="B29" s="30"/>
      <c r="C29" s="30"/>
      <c r="D29" s="30"/>
      <c r="E29" s="30"/>
      <c r="F29" s="40"/>
      <c r="G29" s="40"/>
      <c r="H29" s="40"/>
      <c r="I29" s="40"/>
      <c r="J29" s="40"/>
      <c r="K29" s="40"/>
      <c r="L29" s="40"/>
      <c r="M29" s="40"/>
      <c r="N29" s="56"/>
      <c r="O29" s="56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1"/>
      <c r="BD29" s="32"/>
      <c r="BE29" s="32"/>
      <c r="BF29" s="32"/>
      <c r="BG29" s="32"/>
      <c r="BH29" s="32"/>
    </row>
    <row r="30" spans="1:60" s="33" customFormat="1" ht="15.75" customHeight="1">
      <c r="A30" s="30"/>
      <c r="B30" s="30"/>
      <c r="C30" s="30"/>
      <c r="D30" s="30"/>
      <c r="E30" s="30"/>
      <c r="F30" s="40"/>
      <c r="G30" s="40"/>
      <c r="H30" s="40"/>
      <c r="I30" s="40"/>
      <c r="J30" s="40"/>
      <c r="K30" s="40"/>
      <c r="L30" s="40"/>
      <c r="M30" s="40"/>
      <c r="N30" s="56"/>
      <c r="O30" s="56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1"/>
      <c r="BD30" s="32"/>
      <c r="BE30" s="32"/>
      <c r="BF30" s="32"/>
      <c r="BG30" s="32"/>
      <c r="BH30" s="32"/>
    </row>
    <row r="31" spans="1:60" s="33" customFormat="1" ht="15.75" customHeight="1">
      <c r="A31" s="30"/>
      <c r="B31" s="30"/>
      <c r="C31" s="30"/>
      <c r="D31" s="30"/>
      <c r="E31" s="30"/>
      <c r="F31" s="40"/>
      <c r="G31" s="40"/>
      <c r="H31" s="40"/>
      <c r="I31" s="40"/>
      <c r="J31" s="40"/>
      <c r="K31" s="40"/>
      <c r="L31" s="40"/>
      <c r="M31" s="40"/>
      <c r="N31" s="56"/>
      <c r="O31" s="56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1"/>
      <c r="BD31" s="32"/>
      <c r="BE31" s="32"/>
      <c r="BF31" s="32"/>
      <c r="BG31" s="32"/>
      <c r="BH31" s="32"/>
    </row>
    <row r="32" spans="1:60" s="33" customFormat="1" ht="15.75" customHeight="1">
      <c r="A32" s="30"/>
      <c r="B32" s="30"/>
      <c r="C32" s="30"/>
      <c r="D32" s="30"/>
      <c r="E32" s="30"/>
      <c r="F32" s="40"/>
      <c r="G32" s="40"/>
      <c r="H32" s="40"/>
      <c r="I32" s="40"/>
      <c r="J32" s="40"/>
      <c r="K32" s="40"/>
      <c r="L32" s="40"/>
      <c r="M32" s="40"/>
      <c r="N32" s="56"/>
      <c r="O32" s="56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1"/>
      <c r="BD32" s="32"/>
      <c r="BE32" s="32"/>
      <c r="BF32" s="32"/>
      <c r="BG32" s="32"/>
      <c r="BH32" s="32"/>
    </row>
    <row r="33" spans="1:60" s="33" customFormat="1" ht="15.75" customHeight="1">
      <c r="A33" s="30"/>
      <c r="B33" s="30"/>
      <c r="C33" s="30"/>
      <c r="D33" s="30"/>
      <c r="E33" s="30"/>
      <c r="F33" s="40"/>
      <c r="G33" s="40"/>
      <c r="H33" s="40"/>
      <c r="I33" s="40"/>
      <c r="J33" s="40"/>
      <c r="K33" s="40"/>
      <c r="L33" s="40"/>
      <c r="M33" s="40"/>
      <c r="N33" s="56"/>
      <c r="O33" s="56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1"/>
      <c r="BD33" s="32"/>
      <c r="BE33" s="32"/>
      <c r="BF33" s="32"/>
      <c r="BG33" s="32"/>
      <c r="BH33" s="32"/>
    </row>
    <row r="34" spans="1:60" s="33" customFormat="1" ht="15.75" customHeight="1">
      <c r="A34" s="30"/>
      <c r="B34" s="30"/>
      <c r="C34" s="30"/>
      <c r="D34" s="30"/>
      <c r="E34" s="30"/>
      <c r="F34" s="40"/>
      <c r="G34" s="40"/>
      <c r="H34" s="40"/>
      <c r="I34" s="40"/>
      <c r="J34" s="40"/>
      <c r="K34" s="40"/>
      <c r="L34" s="40"/>
      <c r="M34" s="40"/>
      <c r="N34" s="56"/>
      <c r="O34" s="56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1"/>
      <c r="BD34" s="32"/>
      <c r="BE34" s="32"/>
      <c r="BF34" s="32"/>
      <c r="BG34" s="32"/>
      <c r="BH34" s="32"/>
    </row>
    <row r="35" spans="1:60" s="33" customFormat="1" ht="15.75" customHeight="1">
      <c r="A35" s="30"/>
      <c r="B35" s="30"/>
      <c r="C35" s="30"/>
      <c r="D35" s="30"/>
      <c r="E35" s="30"/>
      <c r="F35" s="40"/>
      <c r="G35" s="40"/>
      <c r="H35" s="40"/>
      <c r="I35" s="40"/>
      <c r="J35" s="40"/>
      <c r="K35" s="40"/>
      <c r="L35" s="40"/>
      <c r="M35" s="40"/>
      <c r="N35" s="56"/>
      <c r="O35" s="56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1"/>
      <c r="BD35" s="32"/>
      <c r="BE35" s="32"/>
      <c r="BF35" s="32"/>
      <c r="BG35" s="32"/>
      <c r="BH35" s="32"/>
    </row>
    <row r="36" spans="1:60" s="33" customFormat="1" ht="15.75" customHeight="1">
      <c r="A36" s="30"/>
      <c r="B36" s="30"/>
      <c r="C36" s="30"/>
      <c r="D36" s="30"/>
      <c r="E36" s="30"/>
      <c r="F36" s="40"/>
      <c r="G36" s="40"/>
      <c r="H36" s="40"/>
      <c r="I36" s="40"/>
      <c r="J36" s="40"/>
      <c r="K36" s="40"/>
      <c r="L36" s="40"/>
      <c r="M36" s="40"/>
      <c r="N36" s="56"/>
      <c r="O36" s="56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1"/>
      <c r="BD36" s="32"/>
      <c r="BE36" s="32"/>
      <c r="BF36" s="32"/>
      <c r="BG36" s="32"/>
      <c r="BH36" s="32"/>
    </row>
    <row r="37" spans="1:60" s="33" customFormat="1" ht="15.75" customHeight="1">
      <c r="A37" s="30"/>
      <c r="B37" s="30"/>
      <c r="C37" s="30"/>
      <c r="D37" s="30"/>
      <c r="E37" s="30"/>
      <c r="F37" s="40"/>
      <c r="G37" s="40"/>
      <c r="H37" s="40"/>
      <c r="I37" s="40"/>
      <c r="J37" s="40"/>
      <c r="K37" s="40"/>
      <c r="L37" s="40"/>
      <c r="M37" s="40"/>
      <c r="N37" s="56"/>
      <c r="O37" s="56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1"/>
      <c r="BD37" s="32"/>
      <c r="BE37" s="32"/>
      <c r="BF37" s="32"/>
      <c r="BG37" s="32"/>
      <c r="BH37" s="32"/>
    </row>
    <row r="38" spans="1:60" s="33" customFormat="1" ht="15.75" customHeight="1">
      <c r="A38" s="30"/>
      <c r="B38" s="30"/>
      <c r="C38" s="30"/>
      <c r="D38" s="30"/>
      <c r="E38" s="30"/>
      <c r="F38" s="40"/>
      <c r="G38" s="40"/>
      <c r="H38" s="40"/>
      <c r="I38" s="40"/>
      <c r="J38" s="40"/>
      <c r="K38" s="40"/>
      <c r="L38" s="40"/>
      <c r="M38" s="40"/>
      <c r="N38" s="56"/>
      <c r="O38" s="56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1"/>
      <c r="BD38" s="32"/>
      <c r="BE38" s="32"/>
      <c r="BF38" s="32"/>
      <c r="BG38" s="32"/>
      <c r="BH38" s="32"/>
    </row>
    <row r="39" spans="1:60" s="33" customFormat="1" ht="15.75" customHeight="1">
      <c r="A39" s="30"/>
      <c r="B39" s="30"/>
      <c r="C39" s="30"/>
      <c r="D39" s="30"/>
      <c r="E39" s="30"/>
      <c r="F39" s="40"/>
      <c r="G39" s="40"/>
      <c r="H39" s="40"/>
      <c r="I39" s="40"/>
      <c r="J39" s="40"/>
      <c r="K39" s="40"/>
      <c r="L39" s="40"/>
      <c r="M39" s="40"/>
      <c r="N39" s="56"/>
      <c r="O39" s="56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1"/>
      <c r="BD39" s="32"/>
      <c r="BE39" s="32"/>
      <c r="BF39" s="32"/>
      <c r="BG39" s="32"/>
      <c r="BH39" s="32"/>
    </row>
    <row r="40" spans="1:60" s="33" customFormat="1" ht="15.75" customHeight="1">
      <c r="F40" s="40"/>
      <c r="G40" s="40"/>
      <c r="H40" s="40"/>
      <c r="I40" s="40"/>
      <c r="J40" s="40"/>
      <c r="K40" s="40"/>
      <c r="L40" s="40"/>
      <c r="M40" s="40"/>
      <c r="N40" s="56"/>
      <c r="O40" s="56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1"/>
      <c r="BD40" s="34"/>
      <c r="BE40" s="34"/>
      <c r="BF40" s="34"/>
      <c r="BG40" s="34"/>
      <c r="BH40" s="34"/>
    </row>
    <row r="41" spans="1:60" s="33" customFormat="1" ht="15.75" customHeight="1">
      <c r="F41" s="40"/>
      <c r="G41" s="40"/>
      <c r="H41" s="40"/>
      <c r="I41" s="40"/>
      <c r="J41" s="40"/>
      <c r="K41" s="40"/>
      <c r="L41" s="40"/>
      <c r="M41" s="40"/>
      <c r="N41" s="56"/>
      <c r="O41" s="56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1"/>
      <c r="BD41" s="34"/>
      <c r="BE41" s="34"/>
      <c r="BF41" s="34"/>
      <c r="BG41" s="34"/>
      <c r="BH41" s="34"/>
    </row>
    <row r="42" spans="1:60" ht="15.75" customHeight="1">
      <c r="BC42" s="41"/>
    </row>
  </sheetData>
  <mergeCells count="8">
    <mergeCell ref="A24:E28"/>
    <mergeCell ref="AJ2:AP2"/>
    <mergeCell ref="AQ2:AT2"/>
    <mergeCell ref="AU2:AX2"/>
    <mergeCell ref="V2:AB2"/>
    <mergeCell ref="AC2:AI2"/>
    <mergeCell ref="A1:E2"/>
    <mergeCell ref="A3:C3"/>
  </mergeCells>
  <conditionalFormatting sqref="I19:I23 I4:I13">
    <cfRule type="containsText" dxfId="6" priority="5" operator="containsText" text="Н">
      <formula>NOT(ISERROR(SEARCH("Н",I4)))</formula>
    </cfRule>
    <cfRule type="containsText" dxfId="5" priority="6" operator="containsText" text="В">
      <formula>NOT(ISERROR(SEARCH("В",I4)))</formula>
    </cfRule>
    <cfRule type="containsText" dxfId="4" priority="7" operator="containsText" text="П">
      <formula>NOT(ISERROR(SEARCH("П",I4)))</formula>
    </cfRule>
  </conditionalFormatting>
  <conditionalFormatting sqref="H19:I23 I4:I13">
    <cfRule type="containsText" dxfId="3" priority="2" operator="containsText" text="Н">
      <formula>NOT(ISERROR(SEARCH("Н",H4)))</formula>
    </cfRule>
    <cfRule type="containsText" dxfId="2" priority="3" operator="containsText" text="П">
      <formula>NOT(ISERROR(SEARCH("П",H4)))</formula>
    </cfRule>
    <cfRule type="containsText" dxfId="1" priority="4" operator="containsText" text="В">
      <formula>NOT(ISERROR(SEARCH("В",H4)))</formula>
    </cfRule>
  </conditionalFormatting>
  <conditionalFormatting sqref="L4">
    <cfRule type="expression" dxfId="0" priority="1" stopIfTrue="1">
      <formula>IF(SUM($H$4:$H$6)=8,"test","asd")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4">
    <tabColor theme="3" tint="0.59999389629810485"/>
  </sheetPr>
  <dimension ref="A1:BJ46"/>
  <sheetViews>
    <sheetView topLeftCell="M4" zoomScaleNormal="100" workbookViewId="0">
      <selection activeCell="AO14" sqref="AO14"/>
    </sheetView>
  </sheetViews>
  <sheetFormatPr defaultColWidth="8.5703125" defaultRowHeight="20.100000000000001" customHeight="1"/>
  <cols>
    <col min="1" max="5" width="9" style="100" bestFit="1" customWidth="1"/>
    <col min="6" max="6" width="11.28515625" style="100" bestFit="1" customWidth="1"/>
    <col min="7" max="9" width="9" style="100" bestFit="1" customWidth="1"/>
    <col min="10" max="18" width="8.7109375" style="100" bestFit="1" customWidth="1"/>
    <col min="19" max="19" width="11.28515625" style="100" bestFit="1" customWidth="1"/>
    <col min="20" max="26" width="8.7109375" style="100" bestFit="1" customWidth="1"/>
    <col min="27" max="29" width="8.5703125" style="100"/>
    <col min="30" max="31" width="8.85546875" style="100" bestFit="1" customWidth="1"/>
    <col min="32" max="34" width="13.140625" style="100" bestFit="1" customWidth="1"/>
    <col min="35" max="35" width="8.5703125" style="100"/>
    <col min="36" max="36" width="10.42578125" style="100" bestFit="1" customWidth="1"/>
    <col min="37" max="37" width="13.140625" style="100" bestFit="1" customWidth="1"/>
    <col min="38" max="38" width="8.5703125" style="100"/>
    <col min="39" max="39" width="8.85546875" style="100" bestFit="1" customWidth="1"/>
    <col min="40" max="40" width="11.28515625" style="100" bestFit="1" customWidth="1"/>
    <col min="41" max="42" width="8.85546875" style="100" bestFit="1" customWidth="1"/>
    <col min="43" max="62" width="8.5703125" style="100"/>
    <col min="63" max="16384" width="8.5703125" style="103"/>
  </cols>
  <sheetData>
    <row r="1" spans="1:54" ht="20.100000000000001" customHeight="1">
      <c r="A1" s="171" t="s">
        <v>65</v>
      </c>
      <c r="B1" s="171"/>
      <c r="C1" s="171"/>
      <c r="D1" s="171"/>
      <c r="E1" s="171" t="s">
        <v>66</v>
      </c>
      <c r="F1" s="171"/>
      <c r="G1" s="171"/>
      <c r="H1" s="171"/>
      <c r="I1" s="171"/>
      <c r="J1" s="102" t="s">
        <v>46</v>
      </c>
      <c r="K1" s="102" t="s">
        <v>42</v>
      </c>
      <c r="L1" s="102" t="s">
        <v>43</v>
      </c>
      <c r="M1" s="102" t="s">
        <v>44</v>
      </c>
      <c r="N1" s="171" t="s">
        <v>47</v>
      </c>
      <c r="O1" s="171"/>
      <c r="P1" s="171" t="s">
        <v>45</v>
      </c>
      <c r="Q1" s="171"/>
      <c r="R1" s="171"/>
      <c r="S1" s="171" t="s">
        <v>28</v>
      </c>
      <c r="T1" s="171"/>
      <c r="U1" s="102" t="s">
        <v>58</v>
      </c>
      <c r="V1" s="102" t="s">
        <v>50</v>
      </c>
      <c r="W1" s="102" t="s">
        <v>51</v>
      </c>
      <c r="Y1" s="171" t="s">
        <v>36</v>
      </c>
      <c r="Z1" s="171"/>
      <c r="AB1" s="90"/>
      <c r="AE1" s="90"/>
      <c r="AF1" s="90">
        <v>1</v>
      </c>
      <c r="AG1" s="100" t="s">
        <v>67</v>
      </c>
      <c r="AH1" s="100">
        <v>2</v>
      </c>
      <c r="AJ1" s="100" t="str">
        <f>IF(AK1=B2,"1",IF(D2=AK1,"2","Х"))</f>
        <v>Х</v>
      </c>
      <c r="AK1" s="91">
        <f>MAX(B2,D2,C4)</f>
        <v>100</v>
      </c>
      <c r="AM1" s="170" t="s">
        <v>33</v>
      </c>
      <c r="AN1" s="170"/>
      <c r="AO1" s="170"/>
      <c r="AP1" s="170"/>
    </row>
    <row r="2" spans="1:54" ht="20.100000000000001" customHeight="1">
      <c r="A2" s="100" t="str">
        <f>A10</f>
        <v>Santa Fe</v>
      </c>
      <c r="B2" s="91"/>
      <c r="C2" s="100" t="str">
        <f>C10</f>
        <v>America De Cali</v>
      </c>
      <c r="D2" s="91"/>
      <c r="E2" s="102" t="s">
        <v>68</v>
      </c>
      <c r="F2" s="171" t="s">
        <v>69</v>
      </c>
      <c r="G2" s="171"/>
      <c r="H2" s="171"/>
      <c r="I2" s="171"/>
      <c r="J2" s="90" t="s">
        <v>52</v>
      </c>
      <c r="K2" s="104">
        <f>J20</f>
        <v>0.77499999999999991</v>
      </c>
      <c r="L2" s="104">
        <f>K20</f>
        <v>0.5</v>
      </c>
      <c r="M2" s="104">
        <f>L20</f>
        <v>0.5</v>
      </c>
      <c r="N2" s="104"/>
      <c r="O2" s="104"/>
      <c r="P2" s="105">
        <f>O20</f>
        <v>0.23333333333333334</v>
      </c>
      <c r="Q2" s="105">
        <f>P20</f>
        <v>0.4</v>
      </c>
      <c r="R2" s="105">
        <f>Q20</f>
        <v>0.3666666666666667</v>
      </c>
      <c r="S2" s="105">
        <f>R20</f>
        <v>0.19312169312169314</v>
      </c>
      <c r="T2" s="105">
        <f>S20</f>
        <v>0.15542328042328041</v>
      </c>
      <c r="U2" s="90" t="str">
        <f>IF(P2-R2&gt;0.23,"П1",IF(P2&gt;R2,"1X",IF(R2-P2&gt;0.24,"П2",IF(R2&gt;P2,"Х2",""))))</f>
        <v>Х2</v>
      </c>
      <c r="V2" s="106">
        <f>AVERAGE('A15'!I6,'A15'!B6)</f>
        <v>0.46666666666666667</v>
      </c>
      <c r="W2" s="106">
        <f>AVERAGE('A15'!O7,'A15'!B7)</f>
        <v>0.6</v>
      </c>
      <c r="Y2" s="92">
        <f>ROUND(AVERAGE(O7,V2),0)</f>
        <v>0</v>
      </c>
      <c r="Z2" s="92">
        <f>ROUND(AVERAGE(P7,W2),0)</f>
        <v>1</v>
      </c>
      <c r="AB2" s="90"/>
      <c r="AE2" s="90" t="s">
        <v>70</v>
      </c>
      <c r="AF2" s="93">
        <f>IF(AJ1=1,1,0)</f>
        <v>0</v>
      </c>
      <c r="AG2" s="94">
        <f>IF(AJ1="Х",1,0)</f>
        <v>1</v>
      </c>
      <c r="AH2" s="94">
        <f t="shared" ref="AH2:AH13" si="0">IF(AF2+AG2=0,1,0)</f>
        <v>0</v>
      </c>
      <c r="AJ2" s="100" t="str">
        <f>IF(AK2=A11,"1",IF(C11=AK2,"2","Х"))</f>
        <v>Х</v>
      </c>
      <c r="AK2" s="95">
        <f>MAX(A11:C11)</f>
        <v>0.4</v>
      </c>
      <c r="AM2" s="100" t="s">
        <v>70</v>
      </c>
      <c r="AN2" s="100" t="e">
        <f>IF(B6&gt;D6,"ТМ","ТБ")</f>
        <v>#REF!</v>
      </c>
      <c r="AO2" s="100">
        <f>COUNTIF(AN2:AN7,"ТБ")</f>
        <v>0</v>
      </c>
      <c r="AP2" s="100" t="s">
        <v>71</v>
      </c>
      <c r="AS2" s="107"/>
      <c r="AT2" s="107"/>
    </row>
    <row r="3" spans="1:54" ht="20.100000000000001" customHeight="1">
      <c r="A3" s="170"/>
      <c r="B3" s="170"/>
      <c r="C3" s="170"/>
      <c r="D3" s="170"/>
      <c r="E3" s="102" t="s">
        <v>72</v>
      </c>
      <c r="F3" s="177">
        <f>A11</f>
        <v>0.23333333333333334</v>
      </c>
      <c r="G3" s="170"/>
      <c r="H3" s="170"/>
      <c r="I3" s="170"/>
      <c r="J3" s="90"/>
      <c r="K3" s="104"/>
      <c r="L3" s="104"/>
      <c r="M3" s="182" t="s">
        <v>122</v>
      </c>
      <c r="N3" s="182"/>
      <c r="O3" s="182"/>
      <c r="P3" s="182"/>
      <c r="Q3" s="182"/>
      <c r="R3" s="182"/>
      <c r="S3" s="182"/>
      <c r="T3" s="182"/>
      <c r="U3" s="104"/>
      <c r="V3" s="90"/>
      <c r="W3" s="90"/>
      <c r="X3" s="90"/>
      <c r="AE3" s="90" t="s">
        <v>73</v>
      </c>
      <c r="AF3" s="93">
        <f>IF(AJ2=1,1,0)</f>
        <v>0</v>
      </c>
      <c r="AG3" s="94">
        <f>IF(AJ2="Х",1,0)</f>
        <v>1</v>
      </c>
      <c r="AH3" s="94">
        <f t="shared" si="0"/>
        <v>0</v>
      </c>
      <c r="AJ3" s="100" t="str">
        <f>IF(AK3=P2,"1",IF(R2=AK3,"2","Х"))</f>
        <v>Х</v>
      </c>
      <c r="AK3" s="95">
        <f>MAX(P2:R2)</f>
        <v>0.4</v>
      </c>
      <c r="AM3" s="100" t="s">
        <v>74</v>
      </c>
      <c r="AN3" s="100" t="e">
        <f>IF(SUM(D8:E8)&gt;2.5,"ТБ","ТМ")</f>
        <v>#REF!</v>
      </c>
      <c r="AO3" s="100">
        <f>COUNTIF(AN2:AN7,"ТМ")</f>
        <v>4</v>
      </c>
      <c r="AP3" s="100" t="s">
        <v>75</v>
      </c>
    </row>
    <row r="4" spans="1:54" ht="20.100000000000001" customHeight="1">
      <c r="B4" s="100" t="s">
        <v>76</v>
      </c>
      <c r="C4" s="91">
        <f>100-(B2+D2)</f>
        <v>100</v>
      </c>
      <c r="E4" s="102" t="s">
        <v>77</v>
      </c>
      <c r="F4" s="177">
        <f>B11</f>
        <v>0.4</v>
      </c>
      <c r="G4" s="170"/>
      <c r="H4" s="170"/>
      <c r="I4" s="17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AE4" s="90" t="s">
        <v>78</v>
      </c>
      <c r="AF4" s="93">
        <f>IF(F3="П1",1,IF(F3="1Х",1,IF(F3="Х1",1,IF(F3="Ф1(+1)",1,0))))</f>
        <v>0</v>
      </c>
      <c r="AG4" s="94">
        <f>IF(F3="Х",1,IF(F3="1Х",1,IF(F3="Х1",1,IF(F3="Х2",1,IF(F3="2Х",1,0)))))</f>
        <v>0</v>
      </c>
      <c r="AH4" s="94">
        <f>IF(AF4+AG4=0,1,0)</f>
        <v>1</v>
      </c>
      <c r="AM4" s="100" t="s">
        <v>79</v>
      </c>
      <c r="AN4" s="100" t="str">
        <f>IF(L2+M2&gt;2.5,"ТБ","ТМ")</f>
        <v>ТМ</v>
      </c>
      <c r="AP4" s="100" t="str">
        <f>IF(AO2&gt;3,"ТБ",IF(AO3=3,"Неизв.","ТМ"))</f>
        <v>ТМ</v>
      </c>
      <c r="AY4" s="170" t="s">
        <v>122</v>
      </c>
      <c r="AZ4" s="170"/>
      <c r="BA4" s="170"/>
      <c r="BB4" s="170"/>
    </row>
    <row r="5" spans="1:54" ht="20.100000000000001" customHeight="1">
      <c r="A5" s="176"/>
      <c r="B5" s="170"/>
      <c r="C5" s="170"/>
      <c r="D5" s="170"/>
      <c r="E5" s="102" t="s">
        <v>80</v>
      </c>
      <c r="F5" s="177">
        <f>C11</f>
        <v>0.3666666666666667</v>
      </c>
      <c r="G5" s="170"/>
      <c r="H5" s="170"/>
      <c r="I5" s="170"/>
      <c r="J5" s="90" t="s">
        <v>53</v>
      </c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AB5" s="90"/>
      <c r="AC5" s="90"/>
      <c r="AD5" s="90"/>
      <c r="AE5" s="90" t="s">
        <v>81</v>
      </c>
      <c r="AF5" s="93">
        <f>IF(F4="П1",1,IF(F4="1Х",1,IF(F4="Х1",1,IF(F4="Ф1(+1)",1,0))))</f>
        <v>0</v>
      </c>
      <c r="AG5" s="94">
        <f>IF(F4="Х",1,IF(F4="1Х",1,IF(F4="Х1",1,IF(F4="Х2",1,IF(F4="2Х",1,0)))))</f>
        <v>0</v>
      </c>
      <c r="AH5" s="94">
        <f t="shared" si="0"/>
        <v>1</v>
      </c>
      <c r="AM5" s="100" t="s">
        <v>82</v>
      </c>
      <c r="AN5" s="100" t="str">
        <f>IF(K2&gt;=2.5,"ТБ","ТМ")</f>
        <v>ТМ</v>
      </c>
      <c r="AP5" s="100">
        <f>AO2/4*100</f>
        <v>0</v>
      </c>
      <c r="AS5" s="170"/>
      <c r="AT5" s="170"/>
    </row>
    <row r="6" spans="1:54" ht="20.100000000000001" customHeight="1">
      <c r="A6" s="100" t="s">
        <v>83</v>
      </c>
      <c r="B6" s="91" t="e">
        <f>100-D6</f>
        <v>#REF!</v>
      </c>
      <c r="C6" s="100" t="s">
        <v>84</v>
      </c>
      <c r="D6" s="91" t="e">
        <f>(#REF!/#REF!)*100-10</f>
        <v>#REF!</v>
      </c>
      <c r="E6" s="102" t="s">
        <v>63</v>
      </c>
      <c r="F6" s="170"/>
      <c r="G6" s="170"/>
      <c r="H6" s="170"/>
      <c r="I6" s="170"/>
      <c r="J6" s="179" t="s">
        <v>54</v>
      </c>
      <c r="K6" s="179"/>
      <c r="L6" s="179" t="s">
        <v>55</v>
      </c>
      <c r="M6" s="179"/>
      <c r="N6" s="108" t="s">
        <v>56</v>
      </c>
      <c r="O6" s="108" t="s">
        <v>43</v>
      </c>
      <c r="P6" s="108" t="s">
        <v>44</v>
      </c>
      <c r="Q6" s="180" t="s">
        <v>47</v>
      </c>
      <c r="R6" s="180"/>
      <c r="S6" s="180" t="s">
        <v>45</v>
      </c>
      <c r="T6" s="180"/>
      <c r="U6" s="180"/>
      <c r="V6" s="108" t="s">
        <v>49</v>
      </c>
      <c r="W6" s="108" t="s">
        <v>57</v>
      </c>
      <c r="X6" s="96" t="s">
        <v>48</v>
      </c>
      <c r="AB6" s="96" t="s">
        <v>61</v>
      </c>
      <c r="AC6" s="96" t="s">
        <v>36</v>
      </c>
      <c r="AD6" s="96" t="s">
        <v>62</v>
      </c>
      <c r="AE6" s="90" t="s">
        <v>85</v>
      </c>
      <c r="AF6" s="93">
        <f>IF(F5="П1",1,IF(F5="1Х",1,IF(F5="Х1",1,IF(F5="Ф1(+1)",1,0))))</f>
        <v>0</v>
      </c>
      <c r="AG6" s="94">
        <f>IF(F5="Х",1,IF(F5="1Х",1,IF(F5="Х1",1,IF(F5="Х2",1,IF(F5="2Х",1,0)))))</f>
        <v>0</v>
      </c>
      <c r="AH6" s="94">
        <f t="shared" si="0"/>
        <v>1</v>
      </c>
      <c r="AM6" s="100" t="s">
        <v>86</v>
      </c>
      <c r="AN6" s="100" t="str">
        <f>IF(V2+W2&gt;2.5,"ТБ","ТМ")</f>
        <v>ТМ</v>
      </c>
      <c r="AP6" s="100">
        <f>AO3/4*100</f>
        <v>100</v>
      </c>
    </row>
    <row r="7" spans="1:54" ht="20.100000000000001" customHeight="1">
      <c r="B7" s="102" t="s">
        <v>87</v>
      </c>
      <c r="C7" s="102" t="s">
        <v>88</v>
      </c>
      <c r="D7" s="102" t="s">
        <v>89</v>
      </c>
      <c r="E7" s="102" t="s">
        <v>90</v>
      </c>
      <c r="F7" s="102" t="s">
        <v>91</v>
      </c>
      <c r="G7" s="102" t="s">
        <v>92</v>
      </c>
      <c r="H7" s="102">
        <v>12</v>
      </c>
      <c r="J7" s="178" t="str">
        <f>A10</f>
        <v>Santa Fe</v>
      </c>
      <c r="K7" s="178"/>
      <c r="L7" s="178" t="str">
        <f>C10</f>
        <v>America De Cali</v>
      </c>
      <c r="M7" s="178"/>
      <c r="N7" s="104">
        <f>K2</f>
        <v>0.77499999999999991</v>
      </c>
      <c r="O7" s="104">
        <f>L2</f>
        <v>0.5</v>
      </c>
      <c r="P7" s="104">
        <f>M2</f>
        <v>0.5</v>
      </c>
      <c r="Q7" s="104"/>
      <c r="R7" s="104"/>
      <c r="S7" s="105">
        <f>P2</f>
        <v>0.23333333333333334</v>
      </c>
      <c r="T7" s="105">
        <f>Q2</f>
        <v>0.4</v>
      </c>
      <c r="U7" s="105">
        <f>R2</f>
        <v>0.3666666666666667</v>
      </c>
      <c r="V7" s="93">
        <f>'A15'!V5+'A15'!V6/2</f>
        <v>0.41666666666666669</v>
      </c>
      <c r="W7" s="93">
        <f>'A15'!V7+'A15'!V6/2</f>
        <v>0.58333333333333337</v>
      </c>
      <c r="X7" s="104">
        <f>O7-P7</f>
        <v>0</v>
      </c>
      <c r="AB7" s="90" t="str">
        <f>IF(N7&gt;2.85,IF(Y2+Z2&gt;2,"ТБ(2)"," "),IF(N7&lt;2.2,IF(Y2+Z2&lt;3,"ТМ(3)"," ")," "))</f>
        <v>ТМ(3)</v>
      </c>
      <c r="AC7" s="98" t="str">
        <f>CONCATENATE(Y2,":",Z2)</f>
        <v>0:1</v>
      </c>
      <c r="AD7" s="97">
        <f>'A15'!U21</f>
        <v>0.2</v>
      </c>
      <c r="AE7" s="90" t="s">
        <v>63</v>
      </c>
      <c r="AF7" s="93">
        <f>IF(F6="П1",1,IF(F6="1Х",1,IF(F6="Х1",1,IF(F6="Ф1(+1)",1,0))))</f>
        <v>0</v>
      </c>
      <c r="AG7" s="94">
        <f>IF(F6="Х",1,IF(F6="1Х",1,IF(F6="Х1",1,IF(F6="Х2",1,IF(F6="2Х",1,0)))))</f>
        <v>0</v>
      </c>
      <c r="AH7" s="94">
        <f t="shared" si="0"/>
        <v>1</v>
      </c>
      <c r="AJ7" s="100" t="str">
        <f>CONCATENATE(AK21,"/",AJ3)</f>
        <v>2/Х</v>
      </c>
      <c r="AM7" s="100" t="s">
        <v>93</v>
      </c>
      <c r="AN7" s="101" t="str">
        <f>IF(Y2+Z2&gt;2.5,"ТБ","ТМ")</f>
        <v>ТМ</v>
      </c>
      <c r="AO7" s="101"/>
      <c r="AP7" s="101"/>
      <c r="AQ7" s="101"/>
      <c r="AR7" s="101"/>
      <c r="AS7" s="101"/>
    </row>
    <row r="8" spans="1:54" ht="20.100000000000001" customHeight="1">
      <c r="B8" s="109" t="e">
        <f>(#REF!+#REF!)/4</f>
        <v>#REF!</v>
      </c>
      <c r="C8" s="109" t="e">
        <f>(#REF!+#REF!)/4</f>
        <v>#REF!</v>
      </c>
      <c r="D8" s="109" t="e">
        <f>(#REF!+#REF!)/20</f>
        <v>#REF!</v>
      </c>
      <c r="E8" s="109" t="e">
        <f>(#REF!+#REF!)/20</f>
        <v>#REF!</v>
      </c>
      <c r="F8" s="109" t="e">
        <f>(#REF!+#REF!)/20</f>
        <v>#REF!</v>
      </c>
      <c r="G8" s="109" t="e">
        <f>(#REF!+#REF!)/20</f>
        <v>#REF!</v>
      </c>
      <c r="H8" s="110">
        <f>AVERAGE(A11,C11)</f>
        <v>0.30000000000000004</v>
      </c>
      <c r="AE8" s="90" t="s">
        <v>94</v>
      </c>
      <c r="AF8" s="93" t="e">
        <f>IF(D8&gt;E8,1,0)</f>
        <v>#REF!</v>
      </c>
      <c r="AG8" s="94" t="e">
        <f>IF(D8=E8,1,0)</f>
        <v>#REF!</v>
      </c>
      <c r="AH8" s="94" t="e">
        <f t="shared" si="0"/>
        <v>#REF!</v>
      </c>
      <c r="AJ8" s="100" t="str">
        <f>IF(ISERROR(AJ7),"risk",AJ7)</f>
        <v>2/Х</v>
      </c>
      <c r="AN8" s="101"/>
      <c r="AO8" s="101"/>
      <c r="AP8" s="101"/>
      <c r="AQ8" s="101"/>
      <c r="AR8" s="101"/>
      <c r="AS8" s="101"/>
    </row>
    <row r="9" spans="1:54" ht="20.100000000000001" customHeight="1">
      <c r="A9" s="170" t="s">
        <v>124</v>
      </c>
      <c r="B9" s="170"/>
      <c r="C9" s="170"/>
      <c r="D9" s="170"/>
      <c r="E9" s="170"/>
      <c r="F9" s="170"/>
      <c r="G9" s="170"/>
      <c r="H9" s="170"/>
      <c r="I9" s="170"/>
      <c r="AE9" s="90" t="s">
        <v>79</v>
      </c>
      <c r="AF9" s="93">
        <f>IF(L2&gt;M2,1,0)</f>
        <v>0</v>
      </c>
      <c r="AG9" s="94">
        <f>IF(L2=M2,1,0)</f>
        <v>1</v>
      </c>
      <c r="AH9" s="94">
        <f t="shared" si="0"/>
        <v>0</v>
      </c>
      <c r="AN9" s="101"/>
      <c r="AO9" s="101"/>
      <c r="AP9" s="101"/>
      <c r="AQ9" s="101"/>
      <c r="AR9" s="101"/>
      <c r="AS9" s="101"/>
    </row>
    <row r="10" spans="1:54" ht="20.100000000000001" customHeight="1">
      <c r="A10" s="102" t="str">
        <f>'Team 1'!A3</f>
        <v>Santa Fe</v>
      </c>
      <c r="B10" s="102" t="s">
        <v>67</v>
      </c>
      <c r="C10" s="102" t="str">
        <f>'Team 2'!A3</f>
        <v>America De Cali</v>
      </c>
      <c r="D10" s="102" t="s">
        <v>49</v>
      </c>
      <c r="E10" s="102" t="s">
        <v>57</v>
      </c>
      <c r="F10" s="102" t="s">
        <v>71</v>
      </c>
      <c r="G10" s="102" t="s">
        <v>75</v>
      </c>
      <c r="H10" s="102" t="s">
        <v>95</v>
      </c>
      <c r="I10" s="102" t="s">
        <v>96</v>
      </c>
      <c r="K10" s="170" t="s">
        <v>123</v>
      </c>
      <c r="L10" s="170"/>
      <c r="M10" s="170"/>
      <c r="N10" s="170"/>
      <c r="O10" s="170"/>
      <c r="P10" s="170"/>
      <c r="Q10" s="170"/>
      <c r="R10" s="170"/>
      <c r="AE10" s="98" t="s">
        <v>97</v>
      </c>
      <c r="AF10" s="93">
        <f>IF(AJ3="1",1,0)</f>
        <v>0</v>
      </c>
      <c r="AG10" s="94">
        <f>IF(AJ3="х",1,0)</f>
        <v>1</v>
      </c>
      <c r="AH10" s="94">
        <f t="shared" si="0"/>
        <v>0</v>
      </c>
      <c r="AK10" s="100" t="s">
        <v>75</v>
      </c>
      <c r="AL10" s="100" t="s">
        <v>71</v>
      </c>
      <c r="AN10" s="101"/>
      <c r="AO10" s="101"/>
      <c r="AP10" s="101"/>
      <c r="AQ10" s="101"/>
      <c r="AR10" s="101"/>
      <c r="AS10" s="101"/>
    </row>
    <row r="11" spans="1:54" ht="20.100000000000001" customHeight="1">
      <c r="A11" s="111">
        <f>'A15'!G16</f>
        <v>0.23333333333333334</v>
      </c>
      <c r="B11" s="111">
        <f>'A15'!H16</f>
        <v>0.4</v>
      </c>
      <c r="C11" s="111">
        <f>'A15'!I16</f>
        <v>0.3666666666666667</v>
      </c>
      <c r="D11" s="110">
        <f>AVERAGE(A11,B11)</f>
        <v>0.31666666666666665</v>
      </c>
      <c r="E11" s="110">
        <f>AVERAGE(C11,B11)</f>
        <v>0.38333333333333336</v>
      </c>
      <c r="F11" s="109" t="e">
        <f>(#REF!+#REF!)/10</f>
        <v>#REF!</v>
      </c>
      <c r="G11" s="109" t="e">
        <f>(#REF!+#REF!)/10</f>
        <v>#REF!</v>
      </c>
      <c r="H11" s="112" t="e">
        <f>(#REF!+#REF!+#REF!+#REF!)%</f>
        <v>#REF!</v>
      </c>
      <c r="I11" s="112" t="e">
        <f>(#REF!+#REF!+#REF!+#REF!)%</f>
        <v>#REF!</v>
      </c>
      <c r="J11" s="171" t="str">
        <f>A10</f>
        <v>Santa Fe</v>
      </c>
      <c r="K11" s="171"/>
      <c r="L11" s="171" t="s">
        <v>67</v>
      </c>
      <c r="M11" s="171"/>
      <c r="N11" s="171" t="str">
        <f>C10</f>
        <v>America De Cali</v>
      </c>
      <c r="O11" s="171"/>
      <c r="P11" s="102" t="s">
        <v>62</v>
      </c>
      <c r="Q11" s="102" t="s">
        <v>101</v>
      </c>
      <c r="R11" s="102" t="s">
        <v>102</v>
      </c>
      <c r="S11" s="102" t="s">
        <v>103</v>
      </c>
      <c r="T11" s="100" t="s">
        <v>119</v>
      </c>
      <c r="AE11" s="90" t="s">
        <v>98</v>
      </c>
      <c r="AF11" s="94">
        <f>IF(S2&gt;T2,1,0)</f>
        <v>1</v>
      </c>
      <c r="AG11" s="94">
        <f>IF(S2=T2,1,0)</f>
        <v>0</v>
      </c>
      <c r="AH11" s="94">
        <f t="shared" si="0"/>
        <v>0</v>
      </c>
      <c r="AK11" s="100">
        <f>COUNTIF($AN$4:$AN$7,AK10)</f>
        <v>4</v>
      </c>
      <c r="AL11" s="101">
        <f>COUNTIF($AN$4:$AN$7,AL10)</f>
        <v>0</v>
      </c>
      <c r="AN11" s="101"/>
      <c r="AO11" s="101"/>
      <c r="AP11" s="101"/>
      <c r="AQ11" s="101"/>
      <c r="AR11" s="101"/>
      <c r="AS11" s="101"/>
    </row>
    <row r="12" spans="1:54" ht="20.100000000000001" customHeight="1">
      <c r="J12" s="170" t="str">
        <f>ROUND(AF16,0)&amp;"%"</f>
        <v>8%</v>
      </c>
      <c r="K12" s="170"/>
      <c r="L12" s="170" t="str">
        <f>ROUND(AG16,0)&amp;"%"</f>
        <v>31%</v>
      </c>
      <c r="M12" s="170"/>
      <c r="N12" s="170" t="str">
        <f>ROUND(AH16,0)&amp;"%"</f>
        <v>46%</v>
      </c>
      <c r="O12" s="170"/>
      <c r="P12" s="100">
        <f>ROUND(AP5,0)</f>
        <v>0</v>
      </c>
      <c r="Q12" s="100">
        <f>ROUND(AP6,0)</f>
        <v>100</v>
      </c>
      <c r="R12" s="100" t="str">
        <f>AN18</f>
        <v>Неизв.</v>
      </c>
      <c r="S12" s="100" t="e">
        <f>IF(#REF!=4,"Нечёт(!)",IF(#REF!=6,"Чёт(!)",IF(#REF!&gt;=7,"Чёт",IF(#REF!&lt;=3,"Нечет","Неизв."))))</f>
        <v>#REF!</v>
      </c>
      <c r="T12" s="100" t="str">
        <f>IF(J12-N12&gt;0.23,"П1",IF(J12&gt;N12,"1X",IF(N12-J12&gt;0.24,"П2",IF(N12&gt;J12,"Х2",""))))</f>
        <v>1X</v>
      </c>
      <c r="AE12" s="90" t="s">
        <v>93</v>
      </c>
      <c r="AF12" s="94">
        <f>IF(Y2&gt;Z2,1,0)</f>
        <v>0</v>
      </c>
      <c r="AG12" s="94">
        <f>IF(Y2=Z2,1,0)</f>
        <v>0</v>
      </c>
      <c r="AH12" s="94">
        <f t="shared" si="0"/>
        <v>1</v>
      </c>
      <c r="AM12" s="100">
        <f>IF(U2="П1",1,IF(U2="П2",2,IF(U2="1X",1,IF(U2="Х2",2))))</f>
        <v>2</v>
      </c>
      <c r="AN12" s="101">
        <f>IF(AL11&gt;AK11,1,0)</f>
        <v>0</v>
      </c>
      <c r="AO12" s="101">
        <f>1-AN12</f>
        <v>1</v>
      </c>
      <c r="AP12" s="101"/>
      <c r="AQ12" s="101"/>
      <c r="AR12" s="101"/>
      <c r="AS12" s="101"/>
    </row>
    <row r="13" spans="1:54" ht="20.100000000000001" customHeight="1">
      <c r="O13" s="185"/>
      <c r="P13" s="170"/>
      <c r="R13" s="172" t="s">
        <v>145</v>
      </c>
      <c r="S13" s="172"/>
      <c r="T13" s="172"/>
      <c r="U13" s="172"/>
      <c r="V13" s="172"/>
      <c r="AE13" s="90" t="s">
        <v>86</v>
      </c>
      <c r="AF13" s="94">
        <f>IF(V2&gt;W2,1,0)</f>
        <v>0</v>
      </c>
      <c r="AG13" s="94">
        <f>IF(V2=W2,1,0)</f>
        <v>0</v>
      </c>
      <c r="AH13" s="94">
        <f t="shared" si="0"/>
        <v>1</v>
      </c>
      <c r="AN13" s="101"/>
      <c r="AO13" s="101" t="str">
        <f>IF(AO12=0,"2.5 OVER","2.5  UNDER")</f>
        <v>2.5  UNDER</v>
      </c>
      <c r="AP13" s="101"/>
      <c r="AQ13" s="101"/>
      <c r="AR13" s="101"/>
      <c r="AS13" s="101"/>
    </row>
    <row r="14" spans="1:54" ht="20.100000000000001" customHeight="1">
      <c r="A14" s="109" t="s">
        <v>108</v>
      </c>
      <c r="B14" s="109"/>
      <c r="C14" s="109"/>
      <c r="D14" s="109" t="s">
        <v>109</v>
      </c>
      <c r="E14" s="109"/>
      <c r="F14" s="109"/>
      <c r="G14" s="109" t="s">
        <v>110</v>
      </c>
      <c r="H14" s="109" t="s">
        <v>111</v>
      </c>
      <c r="K14" s="100">
        <f>AH40</f>
        <v>11</v>
      </c>
      <c r="N14" s="102" t="s">
        <v>104</v>
      </c>
      <c r="O14" s="102" t="s">
        <v>105</v>
      </c>
      <c r="P14" s="102" t="s">
        <v>106</v>
      </c>
      <c r="Q14" s="102" t="s">
        <v>107</v>
      </c>
      <c r="AF14" s="100">
        <f>IF(AF25=1,1,0)</f>
        <v>0</v>
      </c>
      <c r="AG14" s="100">
        <f>IF(AF25="X",1,0)</f>
        <v>0</v>
      </c>
      <c r="AH14" s="94">
        <f>IF(AF25=2,1,0)</f>
        <v>0</v>
      </c>
      <c r="AN14" s="101"/>
      <c r="AO14" s="101"/>
      <c r="AP14" s="101"/>
      <c r="AQ14" s="101"/>
      <c r="AR14" s="101"/>
      <c r="AS14" s="101"/>
    </row>
    <row r="15" spans="1:54" ht="20.100000000000001" customHeight="1">
      <c r="A15" s="109" t="s">
        <v>112</v>
      </c>
      <c r="B15" s="109"/>
      <c r="C15" s="109" t="e">
        <f>(#REF!+#REF!)/10</f>
        <v>#REF!</v>
      </c>
      <c r="D15" s="109" t="s">
        <v>112</v>
      </c>
      <c r="E15" s="109"/>
      <c r="F15" s="109" t="e">
        <f>(#REF!+#REF!)/10</f>
        <v>#REF!</v>
      </c>
      <c r="G15" s="109" t="e">
        <f>#REF!/10</f>
        <v>#REF!</v>
      </c>
      <c r="H15" s="109" t="e">
        <f>#REF!/10</f>
        <v>#REF!</v>
      </c>
      <c r="K15" s="100">
        <f>AH41</f>
        <v>33</v>
      </c>
      <c r="N15" s="100" t="str">
        <f>IF(AP23=1,"Да","Неизв.")</f>
        <v>Неизв.</v>
      </c>
      <c r="O15" s="100" t="str">
        <f>IF(AQ23=1,"Да","Неизв.")</f>
        <v>Неизв.</v>
      </c>
      <c r="P15" s="100" t="str">
        <f>IF(AP24=1,"Да","Неизв.")</f>
        <v>Неизв.</v>
      </c>
      <c r="Q15" s="100" t="str">
        <f>IF(AQ24=1,"Да","Неизв.")</f>
        <v>Неизв.</v>
      </c>
      <c r="AE15" s="100" t="s">
        <v>99</v>
      </c>
      <c r="AF15" s="94">
        <f>COUNTIF(AF2:AF13,1)</f>
        <v>1</v>
      </c>
      <c r="AG15" s="94">
        <f>COUNTIF(AG2:AG13,1)</f>
        <v>4</v>
      </c>
      <c r="AH15" s="94">
        <f>COUNTIF(AH2:AH13,1)</f>
        <v>6</v>
      </c>
      <c r="AN15" s="101"/>
      <c r="AO15" s="101"/>
      <c r="AP15" s="101"/>
      <c r="AQ15" s="101"/>
      <c r="AR15" s="101"/>
      <c r="AS15" s="101"/>
    </row>
    <row r="16" spans="1:54" ht="20.100000000000001" customHeight="1">
      <c r="A16" s="109" t="s">
        <v>113</v>
      </c>
      <c r="B16" s="109"/>
      <c r="C16" s="109" t="e">
        <f>(#REF!+#REF!)/10</f>
        <v>#REF!</v>
      </c>
      <c r="D16" s="109" t="s">
        <v>113</v>
      </c>
      <c r="E16" s="109"/>
      <c r="F16" s="109" t="e">
        <f>(#REF!+#REF!)/10</f>
        <v>#REF!</v>
      </c>
      <c r="G16" s="109" t="e">
        <f>(#REF!/10)+1</f>
        <v>#REF!</v>
      </c>
      <c r="H16" s="109" t="e">
        <f>(#REF!/10)+1</f>
        <v>#REF!</v>
      </c>
      <c r="K16" s="100">
        <f>AH42</f>
        <v>56</v>
      </c>
      <c r="AF16" s="100">
        <f>AF15/13*100</f>
        <v>7.6923076923076925</v>
      </c>
      <c r="AG16" s="100">
        <f>AG15/13*100</f>
        <v>30.76923076923077</v>
      </c>
      <c r="AH16" s="100">
        <f>AH15/13*100</f>
        <v>46.153846153846153</v>
      </c>
      <c r="AN16" s="101"/>
      <c r="AO16" s="101"/>
      <c r="AP16" s="101"/>
      <c r="AQ16" s="101"/>
      <c r="AR16" s="101"/>
      <c r="AS16" s="101"/>
    </row>
    <row r="17" spans="1:54" ht="20.100000000000001" customHeight="1">
      <c r="A17" s="109"/>
      <c r="B17" s="109"/>
      <c r="C17" s="109"/>
      <c r="D17" s="109"/>
      <c r="E17" s="109"/>
      <c r="F17" s="109" t="str">
        <f>IF(AH27=4,"Н(!)",IF(AH27=6,"Ч(!)",IF(AH27&gt;=7,"Ч",IF(AH27&lt;=3,"Н","Не."))))</f>
        <v>Н</v>
      </c>
      <c r="G17" s="109" t="e">
        <f>(#REF!)/10</f>
        <v>#REF!</v>
      </c>
      <c r="H17" s="109" t="e">
        <f>(#REF!/10)-1</f>
        <v>#REF!</v>
      </c>
      <c r="AN17" s="101" t="e">
        <f>IF(AK35=1,AN18,"Неизв.")</f>
        <v>#REF!</v>
      </c>
      <c r="AO17" s="101"/>
      <c r="AP17" s="101"/>
      <c r="AQ17" s="101"/>
      <c r="AR17" s="101"/>
      <c r="AS17" s="101"/>
    </row>
    <row r="18" spans="1:54" ht="20.100000000000001" customHeight="1">
      <c r="K18" s="170" t="s">
        <v>122</v>
      </c>
      <c r="L18" s="170"/>
      <c r="M18" s="170"/>
      <c r="N18" s="170"/>
      <c r="O18" s="170"/>
      <c r="P18" s="170"/>
      <c r="Q18" s="170"/>
      <c r="R18" s="170"/>
      <c r="AN18" s="101" t="str">
        <f>IF(AK43=1,"Да",IF(AO37=2,"Нет","Неизв."))</f>
        <v>Неизв.</v>
      </c>
      <c r="AO18" s="101"/>
      <c r="AP18" s="101"/>
      <c r="AQ18" s="101"/>
      <c r="AR18" s="101"/>
      <c r="AS18" s="101"/>
    </row>
    <row r="19" spans="1:54" ht="20.100000000000001" customHeight="1">
      <c r="A19" s="113"/>
      <c r="B19" s="113"/>
      <c r="C19" s="113"/>
      <c r="D19" s="113"/>
      <c r="E19" s="113"/>
      <c r="F19" s="113"/>
      <c r="G19" s="113"/>
      <c r="H19" s="113"/>
      <c r="I19" s="113"/>
      <c r="J19" s="114" t="s">
        <v>42</v>
      </c>
      <c r="K19" s="114" t="s">
        <v>43</v>
      </c>
      <c r="L19" s="114" t="s">
        <v>44</v>
      </c>
      <c r="M19" s="186" t="s">
        <v>35</v>
      </c>
      <c r="N19" s="186"/>
      <c r="O19" s="186" t="s">
        <v>45</v>
      </c>
      <c r="P19" s="186"/>
      <c r="Q19" s="186"/>
      <c r="R19" s="186" t="s">
        <v>28</v>
      </c>
      <c r="S19" s="186"/>
      <c r="AF19" s="100">
        <f>AF2+AF3</f>
        <v>0</v>
      </c>
      <c r="AG19" s="100">
        <f t="shared" ref="AG19:AH19" si="1">AG2+AG3</f>
        <v>2</v>
      </c>
      <c r="AH19" s="100">
        <f t="shared" si="1"/>
        <v>0</v>
      </c>
      <c r="AI19" s="100">
        <f>AF9+AF10+AH11</f>
        <v>0</v>
      </c>
      <c r="AJ19" s="100">
        <f>AG2+AG3+AG4</f>
        <v>2</v>
      </c>
      <c r="AK19" s="100">
        <f>AH4+AH5+AH6</f>
        <v>3</v>
      </c>
      <c r="AM19" s="103"/>
      <c r="AN19" s="101"/>
      <c r="AO19" s="101"/>
      <c r="AP19" s="101"/>
      <c r="AQ19" s="101"/>
      <c r="AR19" s="101"/>
      <c r="AS19" s="101"/>
    </row>
    <row r="20" spans="1:54" ht="20.100000000000001" customHeight="1">
      <c r="A20" s="113"/>
      <c r="B20" s="113"/>
      <c r="C20" s="113"/>
      <c r="D20" s="113"/>
      <c r="E20" s="113"/>
      <c r="F20" s="113"/>
      <c r="G20" s="113"/>
      <c r="H20" s="113"/>
      <c r="I20" s="113"/>
      <c r="J20" s="106">
        <f>'A15'!A13</f>
        <v>0.77499999999999991</v>
      </c>
      <c r="K20" s="98">
        <f>MROUND('A15'!B9,0.5)</f>
        <v>0.5</v>
      </c>
      <c r="L20" s="98">
        <f>MROUND('A15'!B10,0.5)</f>
        <v>0.5</v>
      </c>
      <c r="M20" s="115">
        <f>'A15'!D9</f>
        <v>-0.21666666666666665</v>
      </c>
      <c r="N20" s="115">
        <f>'A15'!D10</f>
        <v>-0.45000000000000007</v>
      </c>
      <c r="O20" s="105">
        <f>AVERAGE('A15'!V5,'A15'!W5)</f>
        <v>0.23333333333333334</v>
      </c>
      <c r="P20" s="105">
        <f>AVERAGE('A15'!V6,'A15'!W6)</f>
        <v>0.4</v>
      </c>
      <c r="Q20" s="105">
        <f>AVERAGE('A15'!V7,'A15'!W7)</f>
        <v>0.3666666666666667</v>
      </c>
      <c r="R20" s="105">
        <f>'A15'!F9</f>
        <v>0.19312169312169314</v>
      </c>
      <c r="S20" s="105">
        <f>'A15'!F10</f>
        <v>0.15542328042328041</v>
      </c>
      <c r="AF20" s="100">
        <v>1</v>
      </c>
      <c r="AG20" s="100" t="s">
        <v>32</v>
      </c>
      <c r="AH20" s="100">
        <v>2</v>
      </c>
      <c r="AI20" s="100">
        <v>1</v>
      </c>
      <c r="AJ20" s="100" t="s">
        <v>32</v>
      </c>
      <c r="AK20" s="100">
        <v>2</v>
      </c>
      <c r="AN20" s="101"/>
      <c r="AO20" s="101"/>
      <c r="AP20" s="101"/>
      <c r="AQ20" s="101"/>
      <c r="AR20" s="101"/>
      <c r="AS20" s="101"/>
    </row>
    <row r="21" spans="1:54" ht="20.100000000000001" customHeight="1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AG21" s="100">
        <f>MAX(AF19:AH19)</f>
        <v>2</v>
      </c>
      <c r="AH21" s="100" t="str">
        <f>HLOOKUP(AG21,AF19:AH20,2,0)</f>
        <v>X</v>
      </c>
      <c r="AJ21" s="100">
        <f>MAX(AI19:AK19)</f>
        <v>3</v>
      </c>
      <c r="AK21" s="100">
        <f>HLOOKUP(AJ21,AI19:AK20,2,0)</f>
        <v>2</v>
      </c>
      <c r="AN21" s="101"/>
      <c r="AO21" s="101"/>
      <c r="AP21" s="101"/>
      <c r="AQ21" s="101"/>
      <c r="AR21" s="101"/>
      <c r="AS21" s="101"/>
    </row>
    <row r="22" spans="1:54" ht="20.100000000000001" customHeight="1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AI22" s="130" t="str">
        <f>CONCATENATE(AK21,"/",AH21)</f>
        <v>2/X</v>
      </c>
      <c r="AN22" s="101"/>
      <c r="AO22" s="101"/>
      <c r="AP22" s="101"/>
      <c r="AQ22" s="101"/>
      <c r="AR22" s="101"/>
      <c r="AS22" s="101"/>
    </row>
    <row r="23" spans="1:54" ht="20.100000000000001" customHeight="1" thickBot="1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AN23" s="101"/>
      <c r="AO23" s="101"/>
      <c r="AP23" s="101"/>
      <c r="AQ23" s="101"/>
      <c r="AR23" s="101"/>
      <c r="AS23" s="101"/>
    </row>
    <row r="24" spans="1:54" ht="20.100000000000001" customHeight="1">
      <c r="A24" s="116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  <c r="AN24" s="101"/>
      <c r="AO24" s="101"/>
      <c r="AP24" s="101"/>
      <c r="AQ24" s="101"/>
      <c r="AR24" s="101"/>
      <c r="AS24" s="101"/>
    </row>
    <row r="25" spans="1:54" ht="20.100000000000001" customHeight="1">
      <c r="A25" s="119" t="s">
        <v>147</v>
      </c>
      <c r="B25" s="120"/>
      <c r="C25" s="120"/>
      <c r="D25" s="120"/>
      <c r="E25" s="120"/>
      <c r="F25" s="120"/>
      <c r="G25" s="120"/>
      <c r="H25" s="120"/>
      <c r="I25" s="120"/>
      <c r="J25" s="121"/>
      <c r="K25" s="121"/>
      <c r="L25" s="121"/>
      <c r="M25" s="121"/>
      <c r="N25" s="121"/>
      <c r="O25" s="122"/>
      <c r="AN25" s="101"/>
      <c r="AO25" s="101"/>
      <c r="AP25" s="101"/>
      <c r="AQ25" s="101"/>
      <c r="AR25" s="101"/>
      <c r="AS25" s="101"/>
      <c r="AY25" s="170" t="s">
        <v>124</v>
      </c>
      <c r="AZ25" s="170"/>
      <c r="BA25" s="170"/>
      <c r="BB25" s="170"/>
    </row>
    <row r="26" spans="1:54" ht="20.100000000000001" customHeight="1">
      <c r="A26" s="173" t="s">
        <v>148</v>
      </c>
      <c r="B26" s="174"/>
      <c r="C26" s="174"/>
      <c r="D26" s="175" t="s">
        <v>144</v>
      </c>
      <c r="E26" s="175"/>
      <c r="F26" s="175"/>
      <c r="G26" s="175"/>
      <c r="H26" s="175"/>
      <c r="I26" s="175"/>
      <c r="J26" s="121"/>
      <c r="K26" s="121"/>
      <c r="L26" s="121"/>
      <c r="M26" s="121"/>
      <c r="N26" s="121"/>
      <c r="O26" s="122"/>
      <c r="AN26" s="101"/>
      <c r="AO26" s="101"/>
      <c r="AP26" s="101"/>
      <c r="AQ26" s="101"/>
      <c r="AR26" s="101"/>
      <c r="AS26" s="101"/>
    </row>
    <row r="27" spans="1:54" ht="20.100000000000001" customHeight="1">
      <c r="A27" s="119" t="s">
        <v>146</v>
      </c>
      <c r="B27" s="120"/>
      <c r="C27" s="120"/>
      <c r="D27" s="120"/>
      <c r="E27" s="120"/>
      <c r="F27" s="120"/>
      <c r="G27" s="120"/>
      <c r="H27" s="120"/>
      <c r="I27" s="120"/>
      <c r="J27" s="121"/>
      <c r="K27" s="121"/>
      <c r="L27" s="121"/>
      <c r="M27" s="121"/>
      <c r="N27" s="121"/>
      <c r="O27" s="122"/>
      <c r="AN27" s="103"/>
    </row>
    <row r="28" spans="1:54" ht="20.100000000000001" customHeight="1" thickBot="1">
      <c r="A28" s="123" t="s">
        <v>149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54" ht="20.100000000000001" customHeight="1">
      <c r="AE29" s="170" t="s">
        <v>114</v>
      </c>
      <c r="AF29" s="170"/>
      <c r="AG29" s="170"/>
      <c r="AK29" s="170" t="s">
        <v>114</v>
      </c>
      <c r="AL29" s="170"/>
    </row>
    <row r="30" spans="1:54" ht="20.100000000000001" customHeight="1">
      <c r="A30" s="126"/>
      <c r="B30" s="95"/>
      <c r="AE30" s="100" t="s">
        <v>70</v>
      </c>
      <c r="AF30" s="100">
        <f>IF(AF2=1,1,IF(AG2=1,0,2))</f>
        <v>0</v>
      </c>
      <c r="AJ30" s="100" t="s">
        <v>115</v>
      </c>
      <c r="AK30" s="100" t="e">
        <f>IF(H11&gt;=I11,1,0)</f>
        <v>#REF!</v>
      </c>
    </row>
    <row r="31" spans="1:54" ht="20.100000000000001" customHeight="1">
      <c r="A31" s="183"/>
      <c r="B31" s="183"/>
      <c r="C31" s="183"/>
      <c r="D31" s="183"/>
      <c r="E31" s="183"/>
      <c r="F31" s="183"/>
      <c r="G31" s="183"/>
      <c r="H31" s="183"/>
      <c r="I31" s="183"/>
      <c r="AE31" s="100">
        <v>1</v>
      </c>
      <c r="AF31" s="100">
        <f>IF(AF4=1,1,IF(AG4=1,0,2))</f>
        <v>2</v>
      </c>
      <c r="AJ31" s="100" t="s">
        <v>116</v>
      </c>
      <c r="AK31" s="100">
        <f>IF(L2&gt;=1,IF(M2&gt;=1,1,0),0)</f>
        <v>0</v>
      </c>
    </row>
    <row r="32" spans="1:54" ht="20.100000000000001" customHeight="1">
      <c r="A32" s="127"/>
      <c r="B32" s="127"/>
      <c r="C32" s="127"/>
      <c r="D32" s="127"/>
      <c r="E32" s="127"/>
      <c r="F32" s="127"/>
      <c r="G32" s="184"/>
      <c r="H32" s="184"/>
      <c r="I32" s="184"/>
      <c r="AE32" s="100">
        <v>2</v>
      </c>
      <c r="AF32" s="100">
        <f>IF(AF5=1,1,IF(AG5=1,0,2))</f>
        <v>2</v>
      </c>
      <c r="AJ32" s="100" t="s">
        <v>100</v>
      </c>
      <c r="AK32" s="100">
        <f>IF(V2&gt;=1,IF(W2&gt;=1,1,0),0)</f>
        <v>0</v>
      </c>
    </row>
    <row r="33" spans="1:41" ht="20.100000000000001" customHeight="1">
      <c r="A33" s="127"/>
      <c r="B33" s="128"/>
      <c r="C33" s="128"/>
      <c r="D33" s="128"/>
      <c r="E33" s="128"/>
      <c r="F33" s="128"/>
      <c r="G33" s="181"/>
      <c r="H33" s="181"/>
      <c r="I33" s="181"/>
      <c r="AE33" s="100">
        <v>3</v>
      </c>
      <c r="AF33" s="100">
        <f>IF(AF6=1,1,IF(AG6=1,0,2))</f>
        <v>2</v>
      </c>
      <c r="AJ33" s="100" t="s">
        <v>117</v>
      </c>
      <c r="AK33" s="100">
        <f>IF(Y2&gt;=1,IF(Z2&gt;=1,1,0),0)</f>
        <v>0</v>
      </c>
    </row>
    <row r="34" spans="1:41" ht="20.100000000000001" customHeight="1">
      <c r="A34" s="127"/>
      <c r="B34" s="128"/>
      <c r="C34" s="128"/>
      <c r="D34" s="128"/>
      <c r="E34" s="128"/>
      <c r="F34" s="128"/>
      <c r="G34" s="181"/>
      <c r="H34" s="181"/>
      <c r="I34" s="181"/>
      <c r="AE34" s="100">
        <v>4</v>
      </c>
      <c r="AF34" s="100">
        <f>IF(AF7=1,1,IF(AG7=1,0,2))</f>
        <v>2</v>
      </c>
      <c r="AJ34" s="100" t="s">
        <v>118</v>
      </c>
      <c r="AK34" s="100" t="e">
        <f>SUM(AK30:AK33)</f>
        <v>#REF!</v>
      </c>
    </row>
    <row r="35" spans="1:41" ht="20.100000000000001" customHeight="1">
      <c r="AE35" s="100" t="s">
        <v>73</v>
      </c>
      <c r="AF35" s="100">
        <f>IF(AJ2="Х",0,AJ2)</f>
        <v>0</v>
      </c>
      <c r="AJ35" s="100" t="s">
        <v>114</v>
      </c>
      <c r="AK35" s="100" t="e">
        <f>IF(AK34=4,1,0)</f>
        <v>#REF!</v>
      </c>
    </row>
    <row r="36" spans="1:41" ht="20.100000000000001" customHeight="1">
      <c r="AE36" s="100" t="s">
        <v>119</v>
      </c>
      <c r="AF36" s="100">
        <f>IF(AJ3="Х",0,AJ3)</f>
        <v>0</v>
      </c>
      <c r="AG36" s="103"/>
    </row>
    <row r="37" spans="1:41" ht="20.100000000000001" customHeight="1">
      <c r="AE37" s="100" t="s">
        <v>120</v>
      </c>
      <c r="AF37" s="100">
        <f>IF(S2&gt;T2,1,IF(S2=T2,0,2))</f>
        <v>1</v>
      </c>
      <c r="AO37" s="100">
        <f>SUM(AO38:AO39)</f>
        <v>1</v>
      </c>
    </row>
    <row r="38" spans="1:41" ht="20.100000000000001" customHeight="1">
      <c r="AE38" s="100" t="s">
        <v>119</v>
      </c>
      <c r="AF38" s="100">
        <f>AM12</f>
        <v>2</v>
      </c>
      <c r="AO38" s="100">
        <f>IF(AH41=0,1,0)</f>
        <v>0</v>
      </c>
    </row>
    <row r="39" spans="1:41" ht="20.100000000000001" customHeight="1">
      <c r="AO39" s="100">
        <f>SUM(AO40:AO41)</f>
        <v>1</v>
      </c>
    </row>
    <row r="40" spans="1:41" ht="20.100000000000001" customHeight="1">
      <c r="AE40" s="100">
        <v>1</v>
      </c>
      <c r="AF40" s="100">
        <f>COUNTIF(AF30:AF38,1)</f>
        <v>1</v>
      </c>
      <c r="AH40" s="100">
        <f>ROUND(AF40/9*100,0)</f>
        <v>11</v>
      </c>
      <c r="AJ40" s="100">
        <v>1</v>
      </c>
      <c r="AK40" s="100">
        <f>IF(AH41&gt;=11,1,0)</f>
        <v>1</v>
      </c>
      <c r="AM40" s="100">
        <f>IF(AH42=0,AH40,AH40/AH42)</f>
        <v>0.19642857142857142</v>
      </c>
      <c r="AN40" s="100">
        <f>IF(AM40&lt;2,1,0)</f>
        <v>1</v>
      </c>
      <c r="AO40" s="100">
        <f>IF(AM40&gt;3,1,0)</f>
        <v>0</v>
      </c>
    </row>
    <row r="41" spans="1:41" ht="20.100000000000001" customHeight="1">
      <c r="AE41" s="100" t="s">
        <v>121</v>
      </c>
      <c r="AF41" s="100">
        <f>COUNTIF(AF30:AF38,0)</f>
        <v>3</v>
      </c>
      <c r="AH41" s="100">
        <f t="shared" ref="AH41:AH42" si="2">ROUND(AF41/9*100,0)</f>
        <v>33</v>
      </c>
      <c r="AJ41" s="100">
        <v>2</v>
      </c>
      <c r="AK41" s="100">
        <f>IF(AN42=1,1,0)</f>
        <v>0</v>
      </c>
      <c r="AM41" s="100">
        <f>IF(AH40=0,AH42,AH42/AH40)</f>
        <v>5.0909090909090908</v>
      </c>
      <c r="AN41" s="100">
        <f>IF(AM41&lt;2,1,0)</f>
        <v>0</v>
      </c>
      <c r="AO41" s="100">
        <f>IF(AM41&gt;3,1,0)</f>
        <v>1</v>
      </c>
    </row>
    <row r="42" spans="1:41" ht="20.100000000000001" customHeight="1">
      <c r="AE42" s="100">
        <v>2</v>
      </c>
      <c r="AF42" s="100">
        <f>COUNTIF(AF30:AF38,2)</f>
        <v>5</v>
      </c>
      <c r="AH42" s="100">
        <f t="shared" si="2"/>
        <v>56</v>
      </c>
      <c r="AJ42" s="100">
        <v>3</v>
      </c>
      <c r="AK42" s="100">
        <f>IF(AH45&gt;=59,1,0)</f>
        <v>0</v>
      </c>
      <c r="AN42" s="100">
        <f>IF(AN40+AN41=2,1,0)</f>
        <v>0</v>
      </c>
    </row>
    <row r="43" spans="1:41" ht="20.100000000000001" customHeight="1">
      <c r="AK43" s="100">
        <f>IF(AK40+AK41+AK42=3,1,0)</f>
        <v>0</v>
      </c>
    </row>
    <row r="45" spans="1:41" ht="20.100000000000001" customHeight="1">
      <c r="AH45" s="100">
        <f>MAX(AH40:AH42)</f>
        <v>56</v>
      </c>
    </row>
    <row r="46" spans="1:41" ht="20.100000000000001" customHeight="1">
      <c r="AA46" s="129"/>
      <c r="AB46" s="99"/>
      <c r="AC46" s="99"/>
      <c r="AD46" s="99"/>
    </row>
  </sheetData>
  <mergeCells count="46">
    <mergeCell ref="G33:I33"/>
    <mergeCell ref="G34:I34"/>
    <mergeCell ref="A9:I9"/>
    <mergeCell ref="M3:T3"/>
    <mergeCell ref="AY25:BB25"/>
    <mergeCell ref="AY4:BB4"/>
    <mergeCell ref="A31:I31"/>
    <mergeCell ref="G32:I32"/>
    <mergeCell ref="O13:P13"/>
    <mergeCell ref="M19:N19"/>
    <mergeCell ref="O19:Q19"/>
    <mergeCell ref="R19:S19"/>
    <mergeCell ref="AE29:AG29"/>
    <mergeCell ref="AK29:AL29"/>
    <mergeCell ref="K18:R18"/>
    <mergeCell ref="J7:K7"/>
    <mergeCell ref="AS5:AT5"/>
    <mergeCell ref="F6:I6"/>
    <mergeCell ref="J6:K6"/>
    <mergeCell ref="L6:M6"/>
    <mergeCell ref="Q6:R6"/>
    <mergeCell ref="S6:U6"/>
    <mergeCell ref="A3:D3"/>
    <mergeCell ref="F3:I3"/>
    <mergeCell ref="F4:I4"/>
    <mergeCell ref="P1:R1"/>
    <mergeCell ref="S1:T1"/>
    <mergeCell ref="A1:D1"/>
    <mergeCell ref="E1:I1"/>
    <mergeCell ref="N1:O1"/>
    <mergeCell ref="AM1:AP1"/>
    <mergeCell ref="F2:I2"/>
    <mergeCell ref="Y1:Z1"/>
    <mergeCell ref="R13:V13"/>
    <mergeCell ref="A26:C26"/>
    <mergeCell ref="D26:I26"/>
    <mergeCell ref="A5:D5"/>
    <mergeCell ref="F5:I5"/>
    <mergeCell ref="L7:M7"/>
    <mergeCell ref="J11:K11"/>
    <mergeCell ref="L11:M11"/>
    <mergeCell ref="N11:O11"/>
    <mergeCell ref="J12:K12"/>
    <mergeCell ref="L12:M12"/>
    <mergeCell ref="N12:O12"/>
    <mergeCell ref="K10:R10"/>
  </mergeCells>
  <hyperlinks>
    <hyperlink ref="D26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A15</vt:lpstr>
      <vt:lpstr>Cтатистика</vt:lpstr>
      <vt:lpstr>Pro Max New</vt:lpstr>
      <vt:lpstr>Team 1</vt:lpstr>
      <vt:lpstr>Team 2</vt:lpstr>
      <vt:lpstr>А25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2018-04-11T18:42:51Z</dcterms:modified>
</cp:coreProperties>
</file>